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threadedComments/threadedComment4.xml" ContentType="application/vnd.ms-excel.threaded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4.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threadedComments/threadedComment5.xml" ContentType="application/vnd.ms-excel.threaded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omments6.xml" ContentType="application/vnd.openxmlformats-officedocument.spreadsheetml.comments+xml"/>
  <Override PartName="/xl/threadedComments/threadedComment6.xml" ContentType="application/vnd.ms-excel.threadedcomment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7.xml" ContentType="application/vnd.openxmlformats-officedocument.spreadsheetml.comments+xml"/>
  <Override PartName="/xl/threadedComments/threadedComment7.xml" ContentType="application/vnd.ms-excel.threadedcomments+xml"/>
  <Override PartName="/xl/drawings/drawing7.xml" ContentType="application/vnd.openxmlformats-officedocument.drawing+xml"/>
  <Override PartName="/xl/ctrlProps/ctrlProp15.xml" ContentType="application/vnd.ms-excel.controlproperties+xml"/>
  <Override PartName="/xl/ctrlProps/ctrlProp16.xml" ContentType="application/vnd.ms-excel.controlproperties+xml"/>
  <Override PartName="/xl/comments8.xml" ContentType="application/vnd.openxmlformats-officedocument.spreadsheetml.comments+xml"/>
  <Override PartName="/xl/drawings/drawing8.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9.xml" ContentType="application/vnd.openxmlformats-officedocument.spreadsheetml.comments+xml"/>
  <Override PartName="/xl/drawings/drawing9.xml" ContentType="application/vnd.openxmlformats-officedocument.drawing+xml"/>
  <Override PartName="/xl/ctrlProps/ctrlProp19.xml" ContentType="application/vnd.ms-excel.controlproperties+xml"/>
  <Override PartName="/xl/ctrlProps/ctrlProp20.xml" ContentType="application/vnd.ms-excel.controlproperties+xml"/>
  <Override PartName="/xl/comments10.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11.xml" ContentType="application/vnd.openxmlformats-officedocument.spreadsheetml.comments+xml"/>
  <Override PartName="/xl/drawings/drawing11.xml" ContentType="application/vnd.openxmlformats-officedocument.drawing+xml"/>
  <Override PartName="/xl/comments12.xml" ContentType="application/vnd.openxmlformats-officedocument.spreadsheetml.comments+xml"/>
  <Override PartName="/xl/threadedComments/threadedComment8.xml" ContentType="application/vnd.ms-excel.threadedcomments+xml"/>
  <Override PartName="/xl/drawings/drawing12.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omments13.xml" ContentType="application/vnd.openxmlformats-officedocument.spreadsheetml.comments+xml"/>
  <Override PartName="/xl/comments14.xml" ContentType="application/vnd.openxmlformats-officedocument.spreadsheetml.comments+xml"/>
  <Override PartName="/xl/threadedComments/threadedComment9.xml" ContentType="application/vnd.ms-excel.threadedcomments+xml"/>
  <Override PartName="/xl/drawings/drawing13.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5.xml" ContentType="application/vnd.openxmlformats-officedocument.spreadsheetml.comments+xml"/>
  <Override PartName="/xl/threadedComments/threadedComment10.xml" ContentType="application/vnd.ms-excel.threadedcomments+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omments16.xml" ContentType="application/vnd.openxmlformats-officedocument.spreadsheetml.comments+xml"/>
  <Override PartName="/xl/threadedComments/threadedComment11.xml" ContentType="application/vnd.ms-excel.threaded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renya\OneDrive\デスクトップ\鳥人間\QX26設計\設計シート\QX-design-sheet\"/>
    </mc:Choice>
  </mc:AlternateContent>
  <xr:revisionPtr revIDLastSave="0" documentId="13_ncr:1_{A9698611-6695-4B91-8B5D-04943F471343}" xr6:coauthVersionLast="47" xr6:coauthVersionMax="47" xr10:uidLastSave="{00000000-0000-0000-0000-000000000000}"/>
  <bookViews>
    <workbookView xWindow="735" yWindow="735" windowWidth="21600" windowHeight="11295" xr2:uid="{9DC68935-D093-4D21-8F6A-1A1FA8E44A42}"/>
  </bookViews>
  <sheets>
    <sheet name="主翼(型紙出力)" sheetId="9" r:id="rId1"/>
    <sheet name="主翼(平面形)" sheetId="26" r:id="rId2"/>
    <sheet name="主翼(重量推算)" sheetId="28" r:id="rId3"/>
    <sheet name="主翼(平面形結果)" sheetId="39" r:id="rId4"/>
    <sheet name="主翼(桁)" sheetId="27" r:id="rId5"/>
    <sheet name="翼型設計" sheetId="5" r:id="rId6"/>
    <sheet name="主翼翼型1" sheetId="21" r:id="rId7"/>
    <sheet name="主翼翼型2" sheetId="24" r:id="rId8"/>
    <sheet name="主翼翼型3" sheetId="25" r:id="rId9"/>
    <sheet name="主翼翼型4" sheetId="30" r:id="rId10"/>
    <sheet name="主翼翼型5" sheetId="32" r:id="rId11"/>
    <sheet name="全機諸元" sheetId="6" r:id="rId12"/>
    <sheet name="_DropdownData" sheetId="8" state="veryHidden" r:id="rId13"/>
    <sheet name="概念設計" sheetId="4" r:id="rId14"/>
    <sheet name="歴代主要諸元" sheetId="1" r:id="rId15"/>
    <sheet name="パラメーター" sheetId="7" r:id="rId16"/>
    <sheet name="垂直尾翼" sheetId="37" r:id="rId17"/>
    <sheet name="垂直尾翼翼型" sheetId="35" r:id="rId18"/>
    <sheet name="水平尾翼" sheetId="36" r:id="rId19"/>
    <sheet name="水平尾翼翼型" sheetId="33" r:id="rId20"/>
    <sheet name="尾翼設計" sheetId="38" r:id="rId21"/>
    <sheet name="重量推算（慣性モーメント）" sheetId="22" r:id="rId22"/>
  </sheets>
  <functionGroups builtInGroupCount="19"/>
  <definedNames>
    <definedName name="_xlpm.i" hidden="1" xlm="1">#NAME?</definedName>
    <definedName name="_xlpm.k" hidden="1" xlm="1">#NAME?</definedName>
    <definedName name="_xlpm.n" hidden="1" xlm="1">#NAME?</definedName>
    <definedName name="_xlpm.s" hidden="1" xlm="1">#NAME?</definedName>
    <definedName name="_xlpm.T" hidden="1" xlm="1">#NAME?</definedName>
    <definedName name="_xlpm.tL" hidden="1" xlm="1">#NAME?</definedName>
    <definedName name="_xlpm.tR" hidden="1" xlm="1">#NAME?</definedName>
    <definedName name="_xlpm.X" hidden="1" xlm="1">#NAME?</definedName>
    <definedName name="_xlpm.xL" hidden="1" xlm="1">#NAME?</definedName>
    <definedName name="_xlpm.xR" hidden="1" xlm="1">#NAME?</definedName>
    <definedName name="_xlpm.y" hidden="1" xlm="1">#NAME?</definedName>
    <definedName name="FolderFileList">_DropdownData!$A$2:$A$23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3" i="9" l="1"/>
  <c r="A139" i="9" l="1"/>
  <c r="A140" i="9"/>
  <c r="A141" i="9"/>
  <c r="L49" i="28"/>
  <c r="L50" i="28"/>
  <c r="L51" i="28"/>
  <c r="L52" i="28"/>
  <c r="L53" i="28"/>
  <c r="L54" i="28"/>
  <c r="L55" i="28"/>
  <c r="L56" i="28"/>
  <c r="L57" i="28"/>
  <c r="L58" i="28"/>
  <c r="L59" i="28"/>
  <c r="L60" i="28"/>
  <c r="L61" i="28"/>
  <c r="L62" i="28"/>
  <c r="L63" i="28"/>
  <c r="L64" i="28"/>
  <c r="L65" i="28"/>
  <c r="L66" i="28"/>
  <c r="L67" i="28"/>
  <c r="L68" i="28"/>
  <c r="L69" i="28"/>
  <c r="L70" i="28"/>
  <c r="L71" i="28"/>
  <c r="L72" i="28"/>
  <c r="L73" i="28"/>
  <c r="L74" i="28"/>
  <c r="L75" i="28"/>
  <c r="L76" i="28"/>
  <c r="L77" i="28"/>
  <c r="L78" i="28"/>
  <c r="L79" i="28"/>
  <c r="L80" i="28"/>
  <c r="L81" i="28"/>
  <c r="L82" i="28"/>
  <c r="L83" i="28"/>
  <c r="L84" i="28"/>
  <c r="L85" i="28"/>
  <c r="L86" i="28"/>
  <c r="L87" i="28"/>
  <c r="L88" i="28"/>
  <c r="L89" i="28"/>
  <c r="L90" i="28"/>
  <c r="L91" i="28"/>
  <c r="L92" i="28"/>
  <c r="L93" i="28"/>
  <c r="L94" i="28"/>
  <c r="L95" i="28"/>
  <c r="L96" i="28"/>
  <c r="L97" i="28"/>
  <c r="L98" i="28"/>
  <c r="L99" i="28"/>
  <c r="L100" i="28"/>
  <c r="L101" i="28"/>
  <c r="L102" i="28"/>
  <c r="L103" i="28"/>
  <c r="L104" i="28"/>
  <c r="L105" i="28"/>
  <c r="L106" i="28"/>
  <c r="L107" i="28"/>
  <c r="L108" i="28"/>
  <c r="L109" i="28"/>
  <c r="L110" i="28"/>
  <c r="L111" i="28"/>
  <c r="L112" i="28"/>
  <c r="L113" i="28"/>
  <c r="L114" i="28"/>
  <c r="L115" i="28"/>
  <c r="L116" i="28"/>
  <c r="L117" i="28"/>
  <c r="L118" i="28"/>
  <c r="L119" i="28"/>
  <c r="L120" i="28"/>
  <c r="L121" i="28"/>
  <c r="L122" i="28"/>
  <c r="L123" i="28"/>
  <c r="L124" i="28"/>
  <c r="L125" i="28"/>
  <c r="L126" i="28"/>
  <c r="L127" i="28"/>
  <c r="L128" i="28"/>
  <c r="L129" i="28"/>
  <c r="L130" i="28"/>
  <c r="L131" i="28"/>
  <c r="L132" i="28"/>
  <c r="L133" i="28"/>
  <c r="L134" i="28"/>
  <c r="L135" i="28"/>
  <c r="L136" i="28"/>
  <c r="L137" i="28"/>
  <c r="L138" i="28"/>
  <c r="L139" i="28"/>
  <c r="L140" i="28"/>
  <c r="L141" i="28"/>
  <c r="L142" i="28"/>
  <c r="M142" i="28"/>
  <c r="L48" i="28"/>
  <c r="J63" i="26"/>
  <c r="J64" i="26"/>
  <c r="J67" i="26"/>
  <c r="J68" i="26"/>
  <c r="J69" i="26"/>
  <c r="J61" i="26"/>
  <c r="J41" i="26"/>
  <c r="AK318" i="26"/>
  <c r="AK319" i="26"/>
  <c r="AK320" i="26"/>
  <c r="AK321" i="26"/>
  <c r="AK322" i="26"/>
  <c r="AK323" i="26"/>
  <c r="AK324" i="26"/>
  <c r="AK325" i="26"/>
  <c r="AK326" i="26"/>
  <c r="AK327" i="26"/>
  <c r="AK328" i="26"/>
  <c r="AK329" i="26"/>
  <c r="AK330" i="26"/>
  <c r="AK331" i="26"/>
  <c r="AK332" i="26"/>
  <c r="AK333" i="26"/>
  <c r="AI2" i="26" l="1"/>
  <c r="D63" i="26"/>
  <c r="D64" i="26"/>
  <c r="D67" i="26"/>
  <c r="D68" i="26"/>
  <c r="D69" i="26"/>
  <c r="D70" i="26"/>
  <c r="D61" i="26"/>
  <c r="U69" i="26" a="1"/>
  <c r="U69" i="26" s="1"/>
  <c r="S69" i="26" a="1"/>
  <c r="S69" i="26" s="1"/>
  <c r="U68" i="26" a="1"/>
  <c r="U68" i="26" s="1"/>
  <c r="S68" i="26" a="1"/>
  <c r="S68" i="26" s="1"/>
  <c r="U67" i="26" a="1"/>
  <c r="U67" i="26" s="1"/>
  <c r="S67" i="26" a="1"/>
  <c r="S67" i="26" s="1"/>
  <c r="U63" i="26" a="1"/>
  <c r="U63" i="26" s="1"/>
  <c r="S63" i="26" a="1"/>
  <c r="S63" i="26" s="1"/>
  <c r="E49" i="28"/>
  <c r="E50" i="28"/>
  <c r="E51" i="28"/>
  <c r="E52" i="28"/>
  <c r="E53" i="28"/>
  <c r="E54" i="28"/>
  <c r="E55" i="28"/>
  <c r="E56" i="28"/>
  <c r="E57" i="28"/>
  <c r="E58" i="28"/>
  <c r="E59" i="28"/>
  <c r="E60" i="28"/>
  <c r="E61" i="28"/>
  <c r="E62" i="28"/>
  <c r="E63" i="28"/>
  <c r="E64" i="28"/>
  <c r="E65" i="28"/>
  <c r="E66" i="28"/>
  <c r="E67" i="28"/>
  <c r="E68" i="28"/>
  <c r="E69" i="28"/>
  <c r="E70" i="28"/>
  <c r="E71" i="28"/>
  <c r="E72" i="28"/>
  <c r="E73" i="28"/>
  <c r="E74" i="28"/>
  <c r="E75" i="28"/>
  <c r="E76" i="28"/>
  <c r="E77" i="28"/>
  <c r="E78" i="28"/>
  <c r="E79" i="28"/>
  <c r="E80" i="28"/>
  <c r="E81" i="28"/>
  <c r="E82" i="28"/>
  <c r="E83" i="28"/>
  <c r="E84" i="28"/>
  <c r="E85" i="28"/>
  <c r="E86" i="28"/>
  <c r="E87" i="28"/>
  <c r="E88" i="28"/>
  <c r="E89" i="28"/>
  <c r="E90" i="28"/>
  <c r="E91" i="28"/>
  <c r="E92" i="28"/>
  <c r="E93" i="28"/>
  <c r="E94" i="28"/>
  <c r="E95" i="28"/>
  <c r="E96" i="28"/>
  <c r="E97" i="28"/>
  <c r="E98" i="28"/>
  <c r="E99" i="28"/>
  <c r="E100" i="28"/>
  <c r="E101" i="28"/>
  <c r="E102" i="28"/>
  <c r="E103" i="28"/>
  <c r="E104" i="28"/>
  <c r="E105" i="28"/>
  <c r="E106" i="28"/>
  <c r="E107" i="28"/>
  <c r="E108" i="28"/>
  <c r="E109" i="28"/>
  <c r="E110" i="28"/>
  <c r="E111" i="28"/>
  <c r="E112" i="28"/>
  <c r="E113" i="28"/>
  <c r="E114" i="28"/>
  <c r="E115" i="28"/>
  <c r="E116" i="28"/>
  <c r="E117" i="28"/>
  <c r="E118" i="28"/>
  <c r="E119" i="28"/>
  <c r="E120" i="28"/>
  <c r="E121" i="28"/>
  <c r="E122" i="28"/>
  <c r="E123" i="28"/>
  <c r="E124" i="28"/>
  <c r="E125" i="28"/>
  <c r="E126" i="28"/>
  <c r="E127" i="28"/>
  <c r="E128" i="28"/>
  <c r="E129" i="28"/>
  <c r="E130" i="28"/>
  <c r="E131" i="28"/>
  <c r="E132" i="28"/>
  <c r="E133" i="28"/>
  <c r="E134" i="28"/>
  <c r="E135" i="28"/>
  <c r="E136" i="28"/>
  <c r="E137" i="28"/>
  <c r="E138" i="28"/>
  <c r="E139" i="28"/>
  <c r="E48" i="28"/>
  <c r="F49" i="28"/>
  <c r="F50" i="28"/>
  <c r="F51" i="28"/>
  <c r="F52" i="28"/>
  <c r="F53" i="28"/>
  <c r="F54" i="28"/>
  <c r="F55" i="28"/>
  <c r="F56" i="28"/>
  <c r="F57" i="28"/>
  <c r="F58" i="28"/>
  <c r="F59" i="28"/>
  <c r="F60" i="28"/>
  <c r="F61" i="28"/>
  <c r="F62" i="28"/>
  <c r="F63" i="28"/>
  <c r="F64" i="28"/>
  <c r="F65" i="28"/>
  <c r="F66" i="28"/>
  <c r="F67" i="28"/>
  <c r="F68" i="28"/>
  <c r="F69" i="28"/>
  <c r="F70" i="28"/>
  <c r="F71" i="28"/>
  <c r="F72" i="28"/>
  <c r="F73" i="28"/>
  <c r="F74" i="28"/>
  <c r="F75" i="28"/>
  <c r="F76" i="28"/>
  <c r="F77" i="28"/>
  <c r="F78" i="28"/>
  <c r="F79" i="28"/>
  <c r="F80" i="28"/>
  <c r="F81" i="28"/>
  <c r="F82" i="28"/>
  <c r="F83" i="28"/>
  <c r="F84" i="28"/>
  <c r="F85" i="28"/>
  <c r="F86" i="28"/>
  <c r="F87" i="28"/>
  <c r="F88" i="28"/>
  <c r="F89" i="28"/>
  <c r="F90" i="28"/>
  <c r="F91" i="28"/>
  <c r="F92" i="28"/>
  <c r="F93" i="28"/>
  <c r="F94" i="28"/>
  <c r="F95" i="28"/>
  <c r="F96" i="28"/>
  <c r="F97" i="28"/>
  <c r="F98" i="28"/>
  <c r="F99" i="28"/>
  <c r="F100" i="28"/>
  <c r="F101" i="28"/>
  <c r="F102" i="28"/>
  <c r="F103" i="28"/>
  <c r="F104" i="28"/>
  <c r="F105" i="28"/>
  <c r="F106" i="28"/>
  <c r="F107" i="28"/>
  <c r="F108" i="28"/>
  <c r="F109" i="28"/>
  <c r="F110" i="28"/>
  <c r="F111" i="28"/>
  <c r="F112" i="28"/>
  <c r="F113" i="28"/>
  <c r="F114" i="28"/>
  <c r="F115" i="28"/>
  <c r="F116" i="28"/>
  <c r="F117" i="28"/>
  <c r="F118" i="28"/>
  <c r="F119" i="28"/>
  <c r="F120" i="28"/>
  <c r="F121" i="28"/>
  <c r="F122" i="28"/>
  <c r="F123" i="28"/>
  <c r="F124" i="28"/>
  <c r="F125" i="28"/>
  <c r="F126" i="28"/>
  <c r="F127" i="28"/>
  <c r="F128" i="28"/>
  <c r="F129" i="28"/>
  <c r="F130" i="28"/>
  <c r="F131" i="28"/>
  <c r="F132" i="28"/>
  <c r="F133" i="28"/>
  <c r="F134" i="28"/>
  <c r="F135" i="28"/>
  <c r="F48" i="28"/>
  <c r="U10" i="35"/>
  <c r="T10" i="35"/>
  <c r="U9" i="35"/>
  <c r="T9" i="35"/>
  <c r="R43" i="9" l="1"/>
  <c r="R44" i="9" s="1"/>
  <c r="M13" i="9" a="1"/>
  <c r="M13" i="9" s="1"/>
  <c r="M7" i="9" a="1"/>
  <c r="M7" i="9" s="1"/>
  <c r="M8" i="9" a="1"/>
  <c r="M8" i="9" s="1"/>
  <c r="M9" i="9" a="1"/>
  <c r="M9" i="9" s="1"/>
  <c r="M10" i="9" a="1"/>
  <c r="M10" i="9" s="1"/>
  <c r="M11" i="9" a="1"/>
  <c r="M11" i="9" s="1"/>
  <c r="M12" i="9" a="1"/>
  <c r="M12" i="9" s="1"/>
  <c r="M6" i="9" a="1"/>
  <c r="M6" i="9" s="1"/>
  <c r="G15" i="27"/>
  <c r="I14" i="27"/>
  <c r="H14" i="27"/>
  <c r="G14" i="27"/>
  <c r="F14" i="27"/>
  <c r="O330" i="39"/>
  <c r="O331" i="39"/>
  <c r="O332" i="39"/>
  <c r="O333" i="39"/>
  <c r="O334" i="39"/>
  <c r="O335" i="39"/>
  <c r="O336" i="39"/>
  <c r="O337" i="39"/>
  <c r="O338" i="39"/>
  <c r="O339" i="39"/>
  <c r="O340" i="39"/>
  <c r="O341" i="39"/>
  <c r="O342" i="39"/>
  <c r="O343" i="39"/>
  <c r="O344" i="39"/>
  <c r="O345" i="39"/>
  <c r="BL142" i="28"/>
  <c r="BL143" i="28"/>
  <c r="BL144" i="28"/>
  <c r="BL145" i="28"/>
  <c r="B426" i="39"/>
  <c r="C426" i="39"/>
  <c r="B427" i="39"/>
  <c r="C427" i="39"/>
  <c r="B428" i="39"/>
  <c r="C428" i="39"/>
  <c r="B429" i="39"/>
  <c r="C429" i="39"/>
  <c r="B430" i="39"/>
  <c r="C430" i="39"/>
  <c r="B431" i="39"/>
  <c r="C431" i="39"/>
  <c r="B432" i="39"/>
  <c r="C432" i="39"/>
  <c r="B433" i="39"/>
  <c r="C433" i="39"/>
  <c r="B434" i="39"/>
  <c r="C434" i="39"/>
  <c r="B435" i="39"/>
  <c r="C435" i="39"/>
  <c r="D435" i="39"/>
  <c r="E435" i="39"/>
  <c r="F435" i="39"/>
  <c r="G435" i="39"/>
  <c r="H435" i="39"/>
  <c r="I435" i="39"/>
  <c r="J435" i="39"/>
  <c r="K435" i="39"/>
  <c r="L435" i="39"/>
  <c r="M435" i="39"/>
  <c r="N435" i="39"/>
  <c r="O435" i="39"/>
  <c r="P435" i="39"/>
  <c r="Q435" i="39"/>
  <c r="R435" i="39"/>
  <c r="S435" i="39"/>
  <c r="B436" i="39"/>
  <c r="C436" i="39"/>
  <c r="D436" i="39"/>
  <c r="E436" i="39"/>
  <c r="F436" i="39"/>
  <c r="G436" i="39"/>
  <c r="H436" i="39"/>
  <c r="I436" i="39"/>
  <c r="J436" i="39"/>
  <c r="K436" i="39"/>
  <c r="L436" i="39"/>
  <c r="M436" i="39"/>
  <c r="N436" i="39"/>
  <c r="O436" i="39"/>
  <c r="P436" i="39"/>
  <c r="Q436" i="39"/>
  <c r="R436" i="39"/>
  <c r="S436" i="39"/>
  <c r="B437" i="39"/>
  <c r="C437" i="39"/>
  <c r="D437" i="39"/>
  <c r="E437" i="39"/>
  <c r="F437" i="39"/>
  <c r="G437" i="39"/>
  <c r="H437" i="39"/>
  <c r="I437" i="39"/>
  <c r="J437" i="39"/>
  <c r="K437" i="39"/>
  <c r="L437" i="39"/>
  <c r="M437" i="39"/>
  <c r="N437" i="39"/>
  <c r="O437" i="39"/>
  <c r="P437" i="39"/>
  <c r="Q437" i="39"/>
  <c r="R437" i="39"/>
  <c r="S437" i="39"/>
  <c r="B438" i="39"/>
  <c r="C438" i="39"/>
  <c r="D438" i="39"/>
  <c r="E438" i="39"/>
  <c r="F438" i="39"/>
  <c r="G438" i="39"/>
  <c r="H438" i="39"/>
  <c r="I438" i="39"/>
  <c r="J438" i="39"/>
  <c r="K438" i="39"/>
  <c r="L438" i="39"/>
  <c r="M438" i="39"/>
  <c r="N438" i="39"/>
  <c r="O438" i="39"/>
  <c r="P438" i="39"/>
  <c r="Q438" i="39"/>
  <c r="R438" i="39"/>
  <c r="S438" i="39"/>
  <c r="B439" i="39"/>
  <c r="C439" i="39"/>
  <c r="D439" i="39"/>
  <c r="E439" i="39"/>
  <c r="F439" i="39"/>
  <c r="G439" i="39"/>
  <c r="H439" i="39"/>
  <c r="I439" i="39"/>
  <c r="J439" i="39"/>
  <c r="K439" i="39"/>
  <c r="L439" i="39"/>
  <c r="M439" i="39"/>
  <c r="N439" i="39"/>
  <c r="O439" i="39"/>
  <c r="P439" i="39"/>
  <c r="Q439" i="39"/>
  <c r="R439" i="39"/>
  <c r="S439" i="39"/>
  <c r="B440" i="39"/>
  <c r="C440" i="39"/>
  <c r="D440" i="39"/>
  <c r="E440" i="39"/>
  <c r="F440" i="39"/>
  <c r="G440" i="39"/>
  <c r="H440" i="39"/>
  <c r="I440" i="39"/>
  <c r="J440" i="39"/>
  <c r="K440" i="39"/>
  <c r="L440" i="39"/>
  <c r="M440" i="39"/>
  <c r="N440" i="39"/>
  <c r="O440" i="39"/>
  <c r="P440" i="39"/>
  <c r="Q440" i="39"/>
  <c r="R440" i="39"/>
  <c r="S440" i="39"/>
  <c r="C425" i="39"/>
  <c r="D425" i="39"/>
  <c r="E425" i="39"/>
  <c r="F425" i="39"/>
  <c r="G425" i="39"/>
  <c r="H425" i="39"/>
  <c r="I425" i="39"/>
  <c r="J425" i="39"/>
  <c r="K425" i="39"/>
  <c r="L425" i="39"/>
  <c r="M425" i="39"/>
  <c r="N425" i="39"/>
  <c r="O425" i="39"/>
  <c r="P425" i="39"/>
  <c r="Q425" i="39"/>
  <c r="R425" i="39"/>
  <c r="S425" i="39"/>
  <c r="B425" i="39"/>
  <c r="E353" i="39"/>
  <c r="D353" i="39"/>
  <c r="C353" i="39"/>
  <c r="B353" i="39"/>
  <c r="E352" i="39"/>
  <c r="D352" i="39"/>
  <c r="C352" i="39"/>
  <c r="B352" i="39"/>
  <c r="E351" i="39"/>
  <c r="D351" i="39"/>
  <c r="C351" i="39"/>
  <c r="B351" i="39"/>
  <c r="E350" i="39"/>
  <c r="D350" i="39"/>
  <c r="C350" i="39"/>
  <c r="B350" i="39"/>
  <c r="E349" i="39"/>
  <c r="D349" i="39"/>
  <c r="C349" i="39"/>
  <c r="B349" i="39"/>
  <c r="E348" i="39"/>
  <c r="D348" i="39"/>
  <c r="C348" i="39"/>
  <c r="B348" i="39"/>
  <c r="E347" i="39"/>
  <c r="D347" i="39"/>
  <c r="C347" i="39"/>
  <c r="B347" i="39"/>
  <c r="E346" i="39"/>
  <c r="D346" i="39"/>
  <c r="C346" i="39"/>
  <c r="B346" i="39"/>
  <c r="E345" i="39"/>
  <c r="D345" i="39"/>
  <c r="C345" i="39"/>
  <c r="B345" i="39"/>
  <c r="E344" i="39"/>
  <c r="D344" i="39"/>
  <c r="C344" i="39"/>
  <c r="B344" i="39"/>
  <c r="E343" i="39"/>
  <c r="D343" i="39"/>
  <c r="C343" i="39"/>
  <c r="B343" i="39"/>
  <c r="E342" i="39"/>
  <c r="D342" i="39"/>
  <c r="C342" i="39"/>
  <c r="B342" i="39"/>
  <c r="E341" i="39"/>
  <c r="D341" i="39"/>
  <c r="C341" i="39"/>
  <c r="B341" i="39"/>
  <c r="E340" i="39"/>
  <c r="D340" i="39"/>
  <c r="C340" i="39"/>
  <c r="B340" i="39"/>
  <c r="E339" i="39"/>
  <c r="D339" i="39"/>
  <c r="C339" i="39"/>
  <c r="B339" i="39"/>
  <c r="E338" i="39"/>
  <c r="D338" i="39"/>
  <c r="C338" i="39"/>
  <c r="B338" i="39"/>
  <c r="E337" i="39"/>
  <c r="D337" i="39"/>
  <c r="C337" i="39"/>
  <c r="B337" i="39"/>
  <c r="E336" i="39"/>
  <c r="D336" i="39"/>
  <c r="C336" i="39"/>
  <c r="B336" i="39"/>
  <c r="E335" i="39"/>
  <c r="D335" i="39"/>
  <c r="C335" i="39"/>
  <c r="B335" i="39"/>
  <c r="E334" i="39"/>
  <c r="D334" i="39"/>
  <c r="C334" i="39"/>
  <c r="B334" i="39"/>
  <c r="E333" i="39"/>
  <c r="D333" i="39"/>
  <c r="C333" i="39"/>
  <c r="B333" i="39"/>
  <c r="E332" i="39"/>
  <c r="D332" i="39"/>
  <c r="C332" i="39"/>
  <c r="B332" i="39"/>
  <c r="E331" i="39"/>
  <c r="D331" i="39"/>
  <c r="C331" i="39"/>
  <c r="B331" i="39"/>
  <c r="E330" i="39"/>
  <c r="D330" i="39"/>
  <c r="C330" i="39"/>
  <c r="B330" i="39"/>
  <c r="E329" i="39"/>
  <c r="D329" i="39"/>
  <c r="C329" i="39"/>
  <c r="B329" i="39"/>
  <c r="E328" i="39"/>
  <c r="D328" i="39"/>
  <c r="C328" i="39"/>
  <c r="B328" i="39"/>
  <c r="E327" i="39"/>
  <c r="D327" i="39"/>
  <c r="C327" i="39"/>
  <c r="B327" i="39"/>
  <c r="E326" i="39"/>
  <c r="D326" i="39"/>
  <c r="C326" i="39"/>
  <c r="B326" i="39"/>
  <c r="E325" i="39"/>
  <c r="D325" i="39"/>
  <c r="C325" i="39"/>
  <c r="B325" i="39"/>
  <c r="E324" i="39"/>
  <c r="D324" i="39"/>
  <c r="C324" i="39"/>
  <c r="B324" i="39"/>
  <c r="E323" i="39"/>
  <c r="D323" i="39"/>
  <c r="C323" i="39"/>
  <c r="B323" i="39"/>
  <c r="E322" i="39"/>
  <c r="D322" i="39"/>
  <c r="C322" i="39"/>
  <c r="B322" i="39"/>
  <c r="E321" i="39"/>
  <c r="D321" i="39"/>
  <c r="C321" i="39"/>
  <c r="B321" i="39"/>
  <c r="E320" i="39"/>
  <c r="D320" i="39"/>
  <c r="C320" i="39"/>
  <c r="B320" i="39"/>
  <c r="E319" i="39"/>
  <c r="D319" i="39"/>
  <c r="C319" i="39"/>
  <c r="B319" i="39"/>
  <c r="E318" i="39"/>
  <c r="D318" i="39"/>
  <c r="C318" i="39"/>
  <c r="B318" i="39"/>
  <c r="E317" i="39"/>
  <c r="D317" i="39"/>
  <c r="C317" i="39"/>
  <c r="B317" i="39"/>
  <c r="E316" i="39"/>
  <c r="D316" i="39"/>
  <c r="C316" i="39"/>
  <c r="B316" i="39"/>
  <c r="E315" i="39"/>
  <c r="D315" i="39"/>
  <c r="C315" i="39"/>
  <c r="B315" i="39"/>
  <c r="E314" i="39"/>
  <c r="D314" i="39"/>
  <c r="C314" i="39"/>
  <c r="B314" i="39"/>
  <c r="E313" i="39"/>
  <c r="D313" i="39"/>
  <c r="C313" i="39"/>
  <c r="B313" i="39"/>
  <c r="E312" i="39"/>
  <c r="D312" i="39"/>
  <c r="C312" i="39"/>
  <c r="B312" i="39"/>
  <c r="E311" i="39"/>
  <c r="D311" i="39"/>
  <c r="C311" i="39"/>
  <c r="B311" i="39"/>
  <c r="E310" i="39"/>
  <c r="D310" i="39"/>
  <c r="C310" i="39"/>
  <c r="B310" i="39"/>
  <c r="E309" i="39"/>
  <c r="D309" i="39"/>
  <c r="C309" i="39"/>
  <c r="B309" i="39"/>
  <c r="E308" i="39"/>
  <c r="D308" i="39"/>
  <c r="C308" i="39"/>
  <c r="B308" i="39"/>
  <c r="E307" i="39"/>
  <c r="D307" i="39"/>
  <c r="C307" i="39"/>
  <c r="B307" i="39"/>
  <c r="E306" i="39"/>
  <c r="D306" i="39"/>
  <c r="C306" i="39"/>
  <c r="B306" i="39"/>
  <c r="E305" i="39"/>
  <c r="D305" i="39"/>
  <c r="C305" i="39"/>
  <c r="B305" i="39"/>
  <c r="E304" i="39"/>
  <c r="D304" i="39"/>
  <c r="C304" i="39"/>
  <c r="B304" i="39"/>
  <c r="E303" i="39"/>
  <c r="D303" i="39"/>
  <c r="C303" i="39"/>
  <c r="B303" i="39"/>
  <c r="D302" i="39"/>
  <c r="C302" i="39"/>
  <c r="B302" i="39"/>
  <c r="D301" i="39"/>
  <c r="C301" i="39"/>
  <c r="B301" i="39"/>
  <c r="D300" i="39"/>
  <c r="C300" i="39"/>
  <c r="B300" i="39"/>
  <c r="D299" i="39"/>
  <c r="C299" i="39"/>
  <c r="B299" i="39"/>
  <c r="D298" i="39"/>
  <c r="C298" i="39"/>
  <c r="B298" i="39"/>
  <c r="D297" i="39"/>
  <c r="C297" i="39"/>
  <c r="B297" i="39"/>
  <c r="D296" i="39"/>
  <c r="C296" i="39"/>
  <c r="B296" i="39"/>
  <c r="D295" i="39"/>
  <c r="B295" i="39"/>
  <c r="D294" i="39"/>
  <c r="B294" i="39"/>
  <c r="D293" i="39"/>
  <c r="B293" i="39"/>
  <c r="D292" i="39"/>
  <c r="B292" i="39"/>
  <c r="D291" i="39"/>
  <c r="B291" i="39"/>
  <c r="D290" i="39"/>
  <c r="B290" i="39"/>
  <c r="D289" i="39"/>
  <c r="B289" i="39"/>
  <c r="D288" i="39"/>
  <c r="B288" i="39"/>
  <c r="D287" i="39"/>
  <c r="B287" i="39"/>
  <c r="D286" i="39"/>
  <c r="B286" i="39"/>
  <c r="D285" i="39"/>
  <c r="B285" i="39"/>
  <c r="D284" i="39"/>
  <c r="B284" i="39"/>
  <c r="D283" i="39"/>
  <c r="B283" i="39"/>
  <c r="D282" i="39"/>
  <c r="B282" i="39"/>
  <c r="D281" i="39"/>
  <c r="B281" i="39"/>
  <c r="D280" i="39"/>
  <c r="B280" i="39"/>
  <c r="D279" i="39"/>
  <c r="B279" i="39"/>
  <c r="D278" i="39"/>
  <c r="B278" i="39"/>
  <c r="D277" i="39"/>
  <c r="B277" i="39"/>
  <c r="D276" i="39"/>
  <c r="B276" i="39"/>
  <c r="D275" i="39"/>
  <c r="B275" i="39"/>
  <c r="D274" i="39"/>
  <c r="B274" i="39"/>
  <c r="D273" i="39"/>
  <c r="B273" i="39"/>
  <c r="D272" i="39"/>
  <c r="B272" i="39"/>
  <c r="D271" i="39"/>
  <c r="B271" i="39"/>
  <c r="D270" i="39"/>
  <c r="B270" i="39"/>
  <c r="D269" i="39"/>
  <c r="B269" i="39"/>
  <c r="D268" i="39"/>
  <c r="B268" i="39"/>
  <c r="D267" i="39"/>
  <c r="B267" i="39"/>
  <c r="D266" i="39"/>
  <c r="B266" i="39"/>
  <c r="D265" i="39"/>
  <c r="B265" i="39"/>
  <c r="D264" i="39"/>
  <c r="B264" i="39"/>
  <c r="D263" i="39"/>
  <c r="B263" i="39"/>
  <c r="D262" i="39"/>
  <c r="B262" i="39"/>
  <c r="D261" i="39"/>
  <c r="B261" i="39"/>
  <c r="D260" i="39"/>
  <c r="B260" i="39"/>
  <c r="D259" i="39"/>
  <c r="B259" i="39"/>
  <c r="D258" i="39"/>
  <c r="B258" i="39"/>
  <c r="D257" i="39"/>
  <c r="B257" i="39"/>
  <c r="D256" i="39"/>
  <c r="B256" i="39"/>
  <c r="D255" i="39"/>
  <c r="B255" i="39"/>
  <c r="D254" i="39"/>
  <c r="B254" i="39"/>
  <c r="D253" i="39"/>
  <c r="B253" i="39"/>
  <c r="D252" i="39"/>
  <c r="B252" i="39"/>
  <c r="D251" i="39"/>
  <c r="B251" i="39"/>
  <c r="D250" i="39"/>
  <c r="B250" i="39"/>
  <c r="D249" i="39"/>
  <c r="B249" i="39"/>
  <c r="D248" i="39"/>
  <c r="B248" i="39"/>
  <c r="D247" i="39"/>
  <c r="B247" i="39"/>
  <c r="D246" i="39"/>
  <c r="B246" i="39"/>
  <c r="D245" i="39"/>
  <c r="B245" i="39"/>
  <c r="D244" i="39"/>
  <c r="B244" i="39"/>
  <c r="D243" i="39"/>
  <c r="B243" i="39"/>
  <c r="D242" i="39"/>
  <c r="B242" i="39"/>
  <c r="D241" i="39"/>
  <c r="B241" i="39"/>
  <c r="D240" i="39"/>
  <c r="B240" i="39"/>
  <c r="D239" i="39"/>
  <c r="B239" i="39"/>
  <c r="D238" i="39"/>
  <c r="B238" i="39"/>
  <c r="D237" i="39"/>
  <c r="B237" i="39"/>
  <c r="D236" i="39"/>
  <c r="B236" i="39"/>
  <c r="D235" i="39"/>
  <c r="B235" i="39"/>
  <c r="D234" i="39"/>
  <c r="B234" i="39"/>
  <c r="D233" i="39"/>
  <c r="B233" i="39"/>
  <c r="D232" i="39"/>
  <c r="B232" i="39"/>
  <c r="D231" i="39"/>
  <c r="B231" i="39"/>
  <c r="D230" i="39"/>
  <c r="B230" i="39"/>
  <c r="D229" i="39"/>
  <c r="B229" i="39"/>
  <c r="D228" i="39"/>
  <c r="B228" i="39"/>
  <c r="D227" i="39"/>
  <c r="B227" i="39"/>
  <c r="D226" i="39"/>
  <c r="B226" i="39"/>
  <c r="D225" i="39"/>
  <c r="B225" i="39"/>
  <c r="D224" i="39"/>
  <c r="B224" i="39"/>
  <c r="D223" i="39"/>
  <c r="B223" i="39"/>
  <c r="D222" i="39"/>
  <c r="B222" i="39"/>
  <c r="D221" i="39"/>
  <c r="B221" i="39"/>
  <c r="D220" i="39"/>
  <c r="B220" i="39"/>
  <c r="D219" i="39"/>
  <c r="B219" i="39"/>
  <c r="D218" i="39"/>
  <c r="B218" i="39"/>
  <c r="D217" i="39"/>
  <c r="B217" i="39"/>
  <c r="D216" i="39"/>
  <c r="B216" i="39"/>
  <c r="D215" i="39"/>
  <c r="B215" i="39"/>
  <c r="D214" i="39"/>
  <c r="B214" i="39"/>
  <c r="D213" i="39"/>
  <c r="B213" i="39"/>
  <c r="D212" i="39"/>
  <c r="B212" i="39"/>
  <c r="D211" i="39"/>
  <c r="B211" i="39"/>
  <c r="D210" i="39"/>
  <c r="B210" i="39"/>
  <c r="D209" i="39"/>
  <c r="B209" i="39"/>
  <c r="D208" i="39"/>
  <c r="C208" i="39"/>
  <c r="B208" i="39"/>
  <c r="C204" i="39" l="1"/>
  <c r="O22" i="9" a="1"/>
  <c r="O22" i="9" s="1"/>
  <c r="P21" i="9"/>
  <c r="O21" i="9"/>
  <c r="P20" i="9"/>
  <c r="O20" i="9"/>
  <c r="G62" i="26"/>
  <c r="G63" i="26"/>
  <c r="G64" i="26"/>
  <c r="G65" i="26"/>
  <c r="G66" i="26"/>
  <c r="G67" i="26"/>
  <c r="G68" i="26"/>
  <c r="G69" i="26"/>
  <c r="G70" i="26"/>
  <c r="G61" i="26"/>
  <c r="G42" i="26"/>
  <c r="G43" i="26"/>
  <c r="G44" i="26"/>
  <c r="G45" i="26"/>
  <c r="G46" i="26"/>
  <c r="G47" i="26"/>
  <c r="G48" i="26"/>
  <c r="G49" i="26"/>
  <c r="G50" i="26"/>
  <c r="G41" i="26"/>
  <c r="G23" i="26"/>
  <c r="G24" i="26"/>
  <c r="G25" i="26"/>
  <c r="G26" i="26"/>
  <c r="G27" i="26"/>
  <c r="G28" i="26"/>
  <c r="G29" i="26"/>
  <c r="G30" i="26"/>
  <c r="G31" i="26"/>
  <c r="G22" i="26"/>
  <c r="G6" i="39"/>
  <c r="C7" i="39"/>
  <c r="D7" i="39"/>
  <c r="G7" i="39"/>
  <c r="C8" i="39"/>
  <c r="D8" i="39"/>
  <c r="G8" i="39"/>
  <c r="C9" i="39"/>
  <c r="D9" i="39"/>
  <c r="G9" i="39"/>
  <c r="G10" i="39"/>
  <c r="C11" i="39"/>
  <c r="D11" i="39"/>
  <c r="G11" i="39"/>
  <c r="C12" i="39"/>
  <c r="D12" i="39"/>
  <c r="G12" i="39"/>
  <c r="C13" i="39"/>
  <c r="D13" i="39"/>
  <c r="G13" i="39"/>
  <c r="C14" i="39"/>
  <c r="D14" i="39"/>
  <c r="G14" i="39"/>
  <c r="D5" i="39"/>
  <c r="G5" i="39"/>
  <c r="C5" i="39"/>
  <c r="AC7" i="26"/>
  <c r="F8" i="39" s="1"/>
  <c r="AB8" i="26"/>
  <c r="I10" i="9" s="1"/>
  <c r="I11" i="26"/>
  <c r="AC12" i="26" s="1"/>
  <c r="F13" i="39" s="1"/>
  <c r="AA13" i="26" a="1"/>
  <c r="AA13" i="26" s="1"/>
  <c r="AA12" i="26" a="1"/>
  <c r="AA12" i="26" s="1"/>
  <c r="AA11" i="26" a="1"/>
  <c r="AA11" i="26" s="1"/>
  <c r="AA10" i="26" a="1"/>
  <c r="AA10" i="26" s="1"/>
  <c r="K12" i="9" s="1"/>
  <c r="AA9" i="26" a="1"/>
  <c r="AA9" i="26" s="1"/>
  <c r="K11" i="9" s="1"/>
  <c r="AA8" i="26" a="1"/>
  <c r="AA8" i="26" s="1"/>
  <c r="K10" i="9" s="1"/>
  <c r="AA7" i="26" a="1"/>
  <c r="AA7" i="26" s="1"/>
  <c r="K9" i="9" s="1"/>
  <c r="AA6" i="26" a="1"/>
  <c r="AA6" i="26" s="1"/>
  <c r="K8" i="9" s="1"/>
  <c r="AA4" i="26" a="1"/>
  <c r="AA4" i="26" s="1"/>
  <c r="K6" i="9" s="1"/>
  <c r="D9" i="38"/>
  <c r="E20" i="36"/>
  <c r="E19" i="36"/>
  <c r="E18" i="36"/>
  <c r="E17" i="36"/>
  <c r="E16" i="36"/>
  <c r="E14" i="36"/>
  <c r="E13" i="36"/>
  <c r="E12" i="36"/>
  <c r="E11" i="36"/>
  <c r="E10" i="36"/>
  <c r="E9" i="36"/>
  <c r="E8" i="36"/>
  <c r="E6" i="36"/>
  <c r="E7" i="36" s="1"/>
  <c r="E5" i="36"/>
  <c r="AC10" i="33"/>
  <c r="AB10" i="33"/>
  <c r="AA10" i="33"/>
  <c r="Z10" i="33"/>
  <c r="Y10" i="33"/>
  <c r="X10" i="33"/>
  <c r="W10" i="33"/>
  <c r="V10" i="33"/>
  <c r="U10" i="33"/>
  <c r="T10" i="33"/>
  <c r="AC9" i="33"/>
  <c r="AB9" i="33"/>
  <c r="AA9" i="33"/>
  <c r="Z9" i="33"/>
  <c r="Y9" i="33"/>
  <c r="X9" i="33"/>
  <c r="W9" i="33"/>
  <c r="V9" i="33"/>
  <c r="U9" i="33"/>
  <c r="T9" i="33"/>
  <c r="AC8" i="33"/>
  <c r="AB8" i="33"/>
  <c r="AA8" i="33"/>
  <c r="Z8" i="33"/>
  <c r="Y8" i="33"/>
  <c r="X8" i="33"/>
  <c r="W8" i="33"/>
  <c r="V8" i="33"/>
  <c r="U8" i="33"/>
  <c r="T8" i="33"/>
  <c r="V9" i="35"/>
  <c r="W9" i="35"/>
  <c r="X9" i="35"/>
  <c r="Y9" i="35"/>
  <c r="Z9" i="35"/>
  <c r="AA9" i="35"/>
  <c r="AB9" i="35"/>
  <c r="AC9" i="35"/>
  <c r="V10" i="35"/>
  <c r="W10" i="35"/>
  <c r="X10" i="35"/>
  <c r="Y10" i="35"/>
  <c r="Z10" i="35"/>
  <c r="AA10" i="35"/>
  <c r="AB10" i="35"/>
  <c r="AC10" i="35"/>
  <c r="AC8" i="35"/>
  <c r="AB8" i="35"/>
  <c r="AA8" i="35"/>
  <c r="Z8" i="35"/>
  <c r="Y8" i="35"/>
  <c r="X8" i="35"/>
  <c r="W8" i="35"/>
  <c r="V8" i="35"/>
  <c r="U8" i="35"/>
  <c r="T8" i="35"/>
  <c r="L7" i="9"/>
  <c r="L8" i="9"/>
  <c r="L9" i="9"/>
  <c r="L10" i="9"/>
  <c r="L11" i="9"/>
  <c r="L12" i="9"/>
  <c r="L13" i="9"/>
  <c r="L6" i="9"/>
  <c r="N28" i="22"/>
  <c r="O28" i="22"/>
  <c r="P28" i="22"/>
  <c r="Q28" i="22"/>
  <c r="N29" i="22"/>
  <c r="O29" i="22"/>
  <c r="P29" i="22"/>
  <c r="Q29" i="22"/>
  <c r="N30" i="22"/>
  <c r="O30" i="22"/>
  <c r="P30" i="22"/>
  <c r="Q30" i="22"/>
  <c r="M29" i="22"/>
  <c r="M28" i="22"/>
  <c r="M25" i="22"/>
  <c r="M26" i="22"/>
  <c r="M27" i="22"/>
  <c r="M20" i="22"/>
  <c r="M19" i="22"/>
  <c r="G49" i="28"/>
  <c r="G50" i="28"/>
  <c r="G51" i="28"/>
  <c r="G52" i="28"/>
  <c r="G53" i="28"/>
  <c r="G54" i="28"/>
  <c r="G55" i="28"/>
  <c r="AG55" i="28" s="1"/>
  <c r="G56" i="28"/>
  <c r="G57" i="28"/>
  <c r="AG57" i="28" s="1"/>
  <c r="G58" i="28"/>
  <c r="G59" i="28"/>
  <c r="G60" i="28"/>
  <c r="AG60" i="28" s="1"/>
  <c r="G61" i="28"/>
  <c r="G62" i="28"/>
  <c r="G63" i="28"/>
  <c r="G64" i="28"/>
  <c r="AG64" i="28" s="1"/>
  <c r="G65" i="28"/>
  <c r="G66" i="28"/>
  <c r="AG66" i="28" s="1"/>
  <c r="G67" i="28"/>
  <c r="G68" i="28"/>
  <c r="G69" i="28"/>
  <c r="G70" i="28"/>
  <c r="G71" i="28"/>
  <c r="G72" i="28"/>
  <c r="G73" i="28"/>
  <c r="G74" i="28"/>
  <c r="G75" i="28"/>
  <c r="G76" i="28"/>
  <c r="G77" i="28"/>
  <c r="G78" i="28"/>
  <c r="G79" i="28"/>
  <c r="G80" i="28"/>
  <c r="AG80" i="28" s="1"/>
  <c r="G81" i="28"/>
  <c r="G82" i="28"/>
  <c r="G83" i="28"/>
  <c r="G84" i="28"/>
  <c r="G85" i="28"/>
  <c r="G86" i="28"/>
  <c r="G87" i="28"/>
  <c r="AG87" i="28" s="1"/>
  <c r="G88" i="28"/>
  <c r="G89" i="28"/>
  <c r="G90" i="28"/>
  <c r="G91" i="28"/>
  <c r="G92" i="28"/>
  <c r="G93" i="28"/>
  <c r="G94" i="28"/>
  <c r="G95" i="28"/>
  <c r="G96" i="28"/>
  <c r="G97" i="28"/>
  <c r="AG97" i="28" s="1"/>
  <c r="G98" i="28"/>
  <c r="G99" i="28"/>
  <c r="G100" i="28"/>
  <c r="AG100" i="28" s="1"/>
  <c r="G101" i="28"/>
  <c r="G102" i="28"/>
  <c r="G103" i="28"/>
  <c r="G104" i="28"/>
  <c r="G105" i="28"/>
  <c r="G106" i="28"/>
  <c r="G107" i="28"/>
  <c r="G108" i="28"/>
  <c r="G109" i="28"/>
  <c r="G110" i="28"/>
  <c r="G111" i="28"/>
  <c r="G112" i="28"/>
  <c r="G113" i="28"/>
  <c r="G114" i="28"/>
  <c r="G115" i="28"/>
  <c r="G116" i="28"/>
  <c r="G117" i="28"/>
  <c r="G118" i="28"/>
  <c r="G119" i="28"/>
  <c r="G120" i="28"/>
  <c r="G121" i="28"/>
  <c r="G122" i="28"/>
  <c r="G123" i="28"/>
  <c r="G124" i="28"/>
  <c r="G125" i="28"/>
  <c r="G126" i="28"/>
  <c r="G127" i="28"/>
  <c r="AG127" i="28" s="1"/>
  <c r="G128" i="28"/>
  <c r="G129" i="28"/>
  <c r="G130" i="28"/>
  <c r="G131" i="28"/>
  <c r="G132" i="28"/>
  <c r="G133" i="28"/>
  <c r="AG133" i="28" s="1"/>
  <c r="G134" i="28"/>
  <c r="G135" i="28"/>
  <c r="G136" i="28"/>
  <c r="G137" i="28"/>
  <c r="G138" i="28"/>
  <c r="G139" i="28"/>
  <c r="G140" i="28"/>
  <c r="G141" i="28"/>
  <c r="G142" i="28"/>
  <c r="G143" i="28"/>
  <c r="G48" i="28"/>
  <c r="Q18" i="22"/>
  <c r="F20" i="22"/>
  <c r="O18" i="22"/>
  <c r="P18" i="22"/>
  <c r="N18" i="22"/>
  <c r="F9" i="22"/>
  <c r="F10" i="22"/>
  <c r="F12" i="22"/>
  <c r="F13" i="22"/>
  <c r="F5" i="22"/>
  <c r="L13" i="22"/>
  <c r="L12" i="22"/>
  <c r="L4" i="22"/>
  <c r="E15" i="22"/>
  <c r="E14" i="22"/>
  <c r="D15" i="22"/>
  <c r="D14" i="22"/>
  <c r="E11" i="22"/>
  <c r="F11" i="22" s="1"/>
  <c r="E10" i="22"/>
  <c r="E9" i="22"/>
  <c r="E8" i="22"/>
  <c r="F8" i="22" s="1"/>
  <c r="E5" i="22"/>
  <c r="F4" i="22"/>
  <c r="F6" i="22"/>
  <c r="F7" i="22"/>
  <c r="F14" i="22"/>
  <c r="F15" i="22"/>
  <c r="F16" i="22"/>
  <c r="F17" i="22"/>
  <c r="F18" i="22"/>
  <c r="F19" i="22"/>
  <c r="F21" i="22"/>
  <c r="F22" i="22"/>
  <c r="F23" i="22"/>
  <c r="F24" i="22"/>
  <c r="F25" i="22"/>
  <c r="F26" i="22"/>
  <c r="F27" i="22"/>
  <c r="F28" i="22"/>
  <c r="F29" i="22"/>
  <c r="F30" i="22"/>
  <c r="F31" i="22"/>
  <c r="F32" i="22"/>
  <c r="F33" i="22"/>
  <c r="BG133" i="27"/>
  <c r="BG134" i="27"/>
  <c r="R21" i="35"/>
  <c r="R21" i="33"/>
  <c r="B35" i="26"/>
  <c r="U49" i="26" a="1"/>
  <c r="U49" i="26" s="1"/>
  <c r="S49" i="26" a="1"/>
  <c r="S49" i="26"/>
  <c r="U48" i="26" a="1"/>
  <c r="U48" i="26" s="1"/>
  <c r="S48" i="26" a="1"/>
  <c r="S48" i="26" s="1"/>
  <c r="U47" i="26" a="1"/>
  <c r="U47" i="26" s="1"/>
  <c r="S47" i="26" a="1"/>
  <c r="S47" i="26" s="1"/>
  <c r="U44" i="26" a="1"/>
  <c r="U44" i="26" s="1"/>
  <c r="S44" i="26" a="1"/>
  <c r="S44" i="26" s="1"/>
  <c r="U43" i="26" a="1"/>
  <c r="U43" i="26"/>
  <c r="S43" i="26" a="1"/>
  <c r="S43" i="26" s="1"/>
  <c r="U42" i="26" a="1"/>
  <c r="U42" i="26" s="1"/>
  <c r="S42" i="26" a="1"/>
  <c r="S42" i="26" s="1"/>
  <c r="U41" i="26" a="1"/>
  <c r="U41" i="26" s="1"/>
  <c r="D43" i="26" a="1"/>
  <c r="D43" i="26" s="1"/>
  <c r="D44" i="26" a="1"/>
  <c r="D44" i="26" s="1"/>
  <c r="D45" i="26" a="1"/>
  <c r="D45" i="26" s="1"/>
  <c r="D65" i="26" s="1"/>
  <c r="D47" i="26" a="1"/>
  <c r="D47" i="26" s="1"/>
  <c r="D48" i="26" a="1"/>
  <c r="D48" i="26" s="1"/>
  <c r="D49" i="26" a="1"/>
  <c r="D49" i="26" s="1"/>
  <c r="D50" i="26" a="1"/>
  <c r="D50" i="26" s="1"/>
  <c r="D41" i="26" a="1"/>
  <c r="D41" i="26" s="1"/>
  <c r="D22" i="26" a="1"/>
  <c r="D22" i="26" s="1"/>
  <c r="B16" i="26"/>
  <c r="D23" i="26" a="1"/>
  <c r="D23" i="26" s="1"/>
  <c r="D24" i="26" a="1"/>
  <c r="D24" i="26" s="1"/>
  <c r="D25" i="26" a="1"/>
  <c r="D25" i="26" s="1"/>
  <c r="D26" i="26" a="1"/>
  <c r="D26" i="26" s="1"/>
  <c r="D28" i="26" a="1"/>
  <c r="D28" i="26" s="1"/>
  <c r="D29" i="26" a="1"/>
  <c r="D29" i="26" s="1"/>
  <c r="D30" i="26" a="1"/>
  <c r="D30" i="26" s="1"/>
  <c r="D31" i="26" a="1"/>
  <c r="D31" i="26" s="1"/>
  <c r="F46" i="9"/>
  <c r="C296" i="26"/>
  <c r="C297" i="26"/>
  <c r="C298" i="26"/>
  <c r="C299" i="26"/>
  <c r="C208" i="26"/>
  <c r="C52" i="9"/>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B296" i="26"/>
  <c r="C23" i="26"/>
  <c r="U23" i="26" s="1" a="1"/>
  <c r="U23" i="26" s="1"/>
  <c r="C42" i="26"/>
  <c r="J62" i="26" s="1"/>
  <c r="BF128" i="27"/>
  <c r="BF131" i="27"/>
  <c r="I10" i="27"/>
  <c r="I9" i="27"/>
  <c r="I8" i="27"/>
  <c r="I6" i="27"/>
  <c r="I7" i="27"/>
  <c r="I15" i="6"/>
  <c r="I16" i="6"/>
  <c r="R21" i="32"/>
  <c r="R21" i="30"/>
  <c r="R21" i="25"/>
  <c r="R21" i="24"/>
  <c r="R21" i="21"/>
  <c r="M15" i="27"/>
  <c r="U10" i="27"/>
  <c r="T10" i="27"/>
  <c r="T11" i="27"/>
  <c r="U11" i="27"/>
  <c r="T9" i="27"/>
  <c r="R9" i="27"/>
  <c r="S9" i="27"/>
  <c r="U8" i="27"/>
  <c r="T8" i="27"/>
  <c r="S8" i="27"/>
  <c r="R8" i="27"/>
  <c r="Y10" i="24"/>
  <c r="Z5" i="26"/>
  <c r="Q138" i="28" s="1" a="1"/>
  <c r="Q138" i="28" s="1"/>
  <c r="AC12" i="27"/>
  <c r="Y10" i="27"/>
  <c r="D439" i="26"/>
  <c r="E439" i="26"/>
  <c r="F439" i="26"/>
  <c r="G439" i="26"/>
  <c r="H439" i="26"/>
  <c r="I439" i="26"/>
  <c r="J439" i="26"/>
  <c r="K439" i="26"/>
  <c r="L439" i="26"/>
  <c r="M439" i="26"/>
  <c r="N439" i="26"/>
  <c r="O439" i="26"/>
  <c r="P439" i="26"/>
  <c r="Q439" i="26"/>
  <c r="R439" i="26"/>
  <c r="S439" i="26"/>
  <c r="D440" i="26"/>
  <c r="E440" i="26"/>
  <c r="F440" i="26"/>
  <c r="G440" i="26"/>
  <c r="H440" i="26"/>
  <c r="I440" i="26"/>
  <c r="J440" i="26"/>
  <c r="K440" i="26"/>
  <c r="L440" i="26"/>
  <c r="M440" i="26"/>
  <c r="N440" i="26"/>
  <c r="O440" i="26"/>
  <c r="P440" i="26"/>
  <c r="Q440" i="26"/>
  <c r="R440" i="26"/>
  <c r="S440" i="26"/>
  <c r="E438" i="26"/>
  <c r="F438" i="26"/>
  <c r="G438" i="26"/>
  <c r="H438" i="26"/>
  <c r="I438" i="26"/>
  <c r="J438" i="26"/>
  <c r="K438" i="26"/>
  <c r="L438" i="26"/>
  <c r="M438" i="26"/>
  <c r="N438" i="26"/>
  <c r="O438" i="26"/>
  <c r="P438" i="26"/>
  <c r="Q438" i="26"/>
  <c r="R438" i="26"/>
  <c r="S438" i="26"/>
  <c r="D438" i="26"/>
  <c r="D436" i="26"/>
  <c r="E436" i="26"/>
  <c r="F436" i="26"/>
  <c r="G436" i="26"/>
  <c r="H436" i="26"/>
  <c r="I436" i="26"/>
  <c r="J436" i="26"/>
  <c r="K436" i="26"/>
  <c r="L436" i="26"/>
  <c r="M436" i="26"/>
  <c r="N436" i="26"/>
  <c r="O436" i="26"/>
  <c r="P436" i="26"/>
  <c r="Q436" i="26"/>
  <c r="R436" i="26"/>
  <c r="S436" i="26"/>
  <c r="D437" i="26"/>
  <c r="E437" i="26"/>
  <c r="F437" i="26"/>
  <c r="G437" i="26"/>
  <c r="H437" i="26"/>
  <c r="I437" i="26"/>
  <c r="J437" i="26"/>
  <c r="K437" i="26"/>
  <c r="L437" i="26"/>
  <c r="M437" i="26"/>
  <c r="N437" i="26"/>
  <c r="O437" i="26"/>
  <c r="P437" i="26"/>
  <c r="Q437" i="26"/>
  <c r="R437" i="26"/>
  <c r="S437" i="26"/>
  <c r="E435" i="26"/>
  <c r="F435" i="26"/>
  <c r="G435" i="26"/>
  <c r="H435" i="26"/>
  <c r="I435" i="26"/>
  <c r="J435" i="26"/>
  <c r="K435" i="26"/>
  <c r="L435" i="26"/>
  <c r="M435" i="26"/>
  <c r="N435" i="26"/>
  <c r="O435" i="26"/>
  <c r="P435" i="26"/>
  <c r="Q435" i="26"/>
  <c r="R435" i="26"/>
  <c r="S435" i="26"/>
  <c r="D435" i="26"/>
  <c r="D433" i="26"/>
  <c r="D433" i="39" s="1"/>
  <c r="E433" i="26"/>
  <c r="E433" i="39" s="1"/>
  <c r="F433" i="26"/>
  <c r="F433" i="39" s="1"/>
  <c r="G433" i="26"/>
  <c r="G433" i="39" s="1"/>
  <c r="H433" i="26"/>
  <c r="H433" i="39" s="1"/>
  <c r="I433" i="26"/>
  <c r="I433" i="39" s="1"/>
  <c r="J433" i="26"/>
  <c r="J433" i="39" s="1"/>
  <c r="K433" i="26"/>
  <c r="K433" i="39" s="1"/>
  <c r="L433" i="26"/>
  <c r="L433" i="39" s="1"/>
  <c r="M433" i="26"/>
  <c r="M433" i="39" s="1"/>
  <c r="N433" i="26"/>
  <c r="N433" i="39" s="1"/>
  <c r="O433" i="26"/>
  <c r="O433" i="39" s="1"/>
  <c r="P433" i="26"/>
  <c r="P433" i="39" s="1"/>
  <c r="Q433" i="26"/>
  <c r="Q433" i="39" s="1"/>
  <c r="R433" i="26"/>
  <c r="R433" i="39" s="1"/>
  <c r="S433" i="26"/>
  <c r="S433" i="39" s="1"/>
  <c r="D434" i="26"/>
  <c r="D434" i="39" s="1"/>
  <c r="E434" i="26"/>
  <c r="E434" i="39" s="1"/>
  <c r="F434" i="26"/>
  <c r="F434" i="39" s="1"/>
  <c r="G434" i="26"/>
  <c r="G434" i="39" s="1"/>
  <c r="H434" i="26"/>
  <c r="H434" i="39" s="1"/>
  <c r="I434" i="26"/>
  <c r="I434" i="39" s="1"/>
  <c r="J434" i="26"/>
  <c r="J434" i="39" s="1"/>
  <c r="K434" i="26"/>
  <c r="K434" i="39" s="1"/>
  <c r="L434" i="26"/>
  <c r="L434" i="39" s="1"/>
  <c r="M434" i="26"/>
  <c r="M434" i="39" s="1"/>
  <c r="N434" i="26"/>
  <c r="N434" i="39" s="1"/>
  <c r="O434" i="26"/>
  <c r="O434" i="39" s="1"/>
  <c r="P434" i="26"/>
  <c r="P434" i="39" s="1"/>
  <c r="Q434" i="26"/>
  <c r="Q434" i="39" s="1"/>
  <c r="R434" i="26"/>
  <c r="R434" i="39" s="1"/>
  <c r="S434" i="26"/>
  <c r="S434" i="39" s="1"/>
  <c r="E432" i="26"/>
  <c r="E432" i="39" s="1"/>
  <c r="F432" i="26"/>
  <c r="F432" i="39" s="1"/>
  <c r="G432" i="26"/>
  <c r="G432" i="39" s="1"/>
  <c r="H432" i="26"/>
  <c r="H432" i="39" s="1"/>
  <c r="I432" i="26"/>
  <c r="I432" i="39" s="1"/>
  <c r="J432" i="26"/>
  <c r="J432" i="39" s="1"/>
  <c r="K432" i="26"/>
  <c r="K432" i="39" s="1"/>
  <c r="L432" i="26"/>
  <c r="L432" i="39" s="1"/>
  <c r="M432" i="26"/>
  <c r="M432" i="39" s="1"/>
  <c r="N432" i="26"/>
  <c r="N432" i="39" s="1"/>
  <c r="O432" i="26"/>
  <c r="O432" i="39" s="1"/>
  <c r="P432" i="26"/>
  <c r="P432" i="39" s="1"/>
  <c r="Q432" i="26"/>
  <c r="Q432" i="39" s="1"/>
  <c r="R432" i="26"/>
  <c r="R432" i="39" s="1"/>
  <c r="S432" i="26"/>
  <c r="S432" i="39" s="1"/>
  <c r="D432" i="26"/>
  <c r="D432" i="39" s="1"/>
  <c r="D430" i="26"/>
  <c r="D430" i="39" s="1"/>
  <c r="E430" i="26"/>
  <c r="E430" i="39" s="1"/>
  <c r="F430" i="26"/>
  <c r="F430" i="39" s="1"/>
  <c r="G430" i="26"/>
  <c r="G430" i="39" s="1"/>
  <c r="H430" i="26"/>
  <c r="H430" i="39" s="1"/>
  <c r="I430" i="26"/>
  <c r="I430" i="39" s="1"/>
  <c r="J430" i="26"/>
  <c r="J430" i="39" s="1"/>
  <c r="K430" i="26"/>
  <c r="K430" i="39" s="1"/>
  <c r="L430" i="26"/>
  <c r="L430" i="39" s="1"/>
  <c r="M430" i="26"/>
  <c r="M430" i="39" s="1"/>
  <c r="N430" i="26"/>
  <c r="N430" i="39" s="1"/>
  <c r="O430" i="26"/>
  <c r="O430" i="39" s="1"/>
  <c r="P430" i="26"/>
  <c r="P430" i="39" s="1"/>
  <c r="Q430" i="26"/>
  <c r="Q430" i="39" s="1"/>
  <c r="R430" i="26"/>
  <c r="R430" i="39" s="1"/>
  <c r="S430" i="26"/>
  <c r="S430" i="39" s="1"/>
  <c r="D431" i="26"/>
  <c r="D431" i="39" s="1"/>
  <c r="E431" i="26"/>
  <c r="E431" i="39" s="1"/>
  <c r="F431" i="26"/>
  <c r="F431" i="39" s="1"/>
  <c r="G431" i="26"/>
  <c r="G431" i="39" s="1"/>
  <c r="H431" i="26"/>
  <c r="H431" i="39" s="1"/>
  <c r="I431" i="26"/>
  <c r="I431" i="39" s="1"/>
  <c r="J431" i="26"/>
  <c r="J431" i="39" s="1"/>
  <c r="K431" i="26"/>
  <c r="K431" i="39" s="1"/>
  <c r="L431" i="26"/>
  <c r="L431" i="39" s="1"/>
  <c r="M431" i="26"/>
  <c r="M431" i="39" s="1"/>
  <c r="N431" i="26"/>
  <c r="N431" i="39" s="1"/>
  <c r="O431" i="26"/>
  <c r="O431" i="39" s="1"/>
  <c r="P431" i="26"/>
  <c r="P431" i="39" s="1"/>
  <c r="Q431" i="26"/>
  <c r="Q431" i="39" s="1"/>
  <c r="R431" i="26"/>
  <c r="R431" i="39" s="1"/>
  <c r="S431" i="26"/>
  <c r="S431" i="39" s="1"/>
  <c r="E429" i="26"/>
  <c r="E429" i="39" s="1"/>
  <c r="F429" i="26"/>
  <c r="F429" i="39" s="1"/>
  <c r="G429" i="26"/>
  <c r="G429" i="39" s="1"/>
  <c r="H429" i="26"/>
  <c r="H429" i="39" s="1"/>
  <c r="I429" i="26"/>
  <c r="I429" i="39" s="1"/>
  <c r="J429" i="26"/>
  <c r="J429" i="39" s="1"/>
  <c r="K429" i="26"/>
  <c r="K429" i="39" s="1"/>
  <c r="L429" i="26"/>
  <c r="L429" i="39" s="1"/>
  <c r="M429" i="26"/>
  <c r="M429" i="39" s="1"/>
  <c r="N429" i="26"/>
  <c r="N429" i="39" s="1"/>
  <c r="O429" i="26"/>
  <c r="O429" i="39" s="1"/>
  <c r="P429" i="26"/>
  <c r="P429" i="39" s="1"/>
  <c r="Q429" i="26"/>
  <c r="Q429" i="39" s="1"/>
  <c r="R429" i="26"/>
  <c r="R429" i="39" s="1"/>
  <c r="S429" i="26"/>
  <c r="S429" i="39" s="1"/>
  <c r="D429" i="26"/>
  <c r="D429" i="39" s="1"/>
  <c r="D427" i="26"/>
  <c r="D427" i="39" s="1"/>
  <c r="E427" i="26"/>
  <c r="E427" i="39" s="1"/>
  <c r="F427" i="26"/>
  <c r="F427" i="39" s="1"/>
  <c r="G427" i="26"/>
  <c r="G427" i="39" s="1"/>
  <c r="H427" i="26"/>
  <c r="H427" i="39" s="1"/>
  <c r="I427" i="26"/>
  <c r="I427" i="39" s="1"/>
  <c r="J427" i="26"/>
  <c r="J427" i="39" s="1"/>
  <c r="K427" i="26"/>
  <c r="K427" i="39" s="1"/>
  <c r="L427" i="26"/>
  <c r="L427" i="39" s="1"/>
  <c r="M427" i="26"/>
  <c r="M427" i="39" s="1"/>
  <c r="N427" i="26"/>
  <c r="N427" i="39" s="1"/>
  <c r="O427" i="26"/>
  <c r="O427" i="39" s="1"/>
  <c r="P427" i="26"/>
  <c r="P427" i="39" s="1"/>
  <c r="Q427" i="26"/>
  <c r="Q427" i="39" s="1"/>
  <c r="R427" i="26"/>
  <c r="R427" i="39" s="1"/>
  <c r="S427" i="26"/>
  <c r="S427" i="39" s="1"/>
  <c r="D428" i="26"/>
  <c r="D428" i="39" s="1"/>
  <c r="E428" i="26"/>
  <c r="E428" i="39" s="1"/>
  <c r="F428" i="26"/>
  <c r="F428" i="39" s="1"/>
  <c r="G428" i="26"/>
  <c r="G428" i="39" s="1"/>
  <c r="H428" i="26"/>
  <c r="H428" i="39" s="1"/>
  <c r="I428" i="26"/>
  <c r="I428" i="39" s="1"/>
  <c r="J428" i="26"/>
  <c r="J428" i="39" s="1"/>
  <c r="K428" i="26"/>
  <c r="K428" i="39" s="1"/>
  <c r="L428" i="26"/>
  <c r="L428" i="39" s="1"/>
  <c r="M428" i="26"/>
  <c r="M428" i="39" s="1"/>
  <c r="N428" i="26"/>
  <c r="N428" i="39" s="1"/>
  <c r="O428" i="26"/>
  <c r="O428" i="39" s="1"/>
  <c r="P428" i="26"/>
  <c r="P428" i="39" s="1"/>
  <c r="Q428" i="26"/>
  <c r="Q428" i="39" s="1"/>
  <c r="R428" i="26"/>
  <c r="R428" i="39" s="1"/>
  <c r="S428" i="26"/>
  <c r="S428" i="39" s="1"/>
  <c r="E426" i="26"/>
  <c r="E426" i="39" s="1"/>
  <c r="F426" i="26"/>
  <c r="F426" i="39" s="1"/>
  <c r="G426" i="26"/>
  <c r="G426" i="39" s="1"/>
  <c r="H426" i="26"/>
  <c r="H426" i="39" s="1"/>
  <c r="I426" i="26"/>
  <c r="I426" i="39" s="1"/>
  <c r="J426" i="26"/>
  <c r="J426" i="39" s="1"/>
  <c r="K426" i="26"/>
  <c r="K426" i="39" s="1"/>
  <c r="L426" i="26"/>
  <c r="L426" i="39" s="1"/>
  <c r="M426" i="26"/>
  <c r="M426" i="39" s="1"/>
  <c r="N426" i="26"/>
  <c r="N426" i="39" s="1"/>
  <c r="O426" i="26"/>
  <c r="O426" i="39" s="1"/>
  <c r="P426" i="26"/>
  <c r="P426" i="39" s="1"/>
  <c r="Q426" i="26"/>
  <c r="Q426" i="39" s="1"/>
  <c r="R426" i="26"/>
  <c r="R426" i="39" s="1"/>
  <c r="S426" i="26"/>
  <c r="S426" i="39" s="1"/>
  <c r="D426" i="26"/>
  <c r="D426" i="39" s="1"/>
  <c r="E303" i="26"/>
  <c r="E304" i="26"/>
  <c r="E305" i="26"/>
  <c r="E306" i="26"/>
  <c r="E307" i="26"/>
  <c r="E308" i="26"/>
  <c r="E309" i="26"/>
  <c r="E310" i="26"/>
  <c r="E311" i="26"/>
  <c r="E312" i="26"/>
  <c r="E313" i="26"/>
  <c r="E314" i="26"/>
  <c r="E315" i="26"/>
  <c r="E316" i="26"/>
  <c r="E317" i="26"/>
  <c r="E318" i="26"/>
  <c r="E319" i="26"/>
  <c r="E320" i="26"/>
  <c r="E321" i="26"/>
  <c r="E322" i="26"/>
  <c r="E323" i="26"/>
  <c r="E324" i="26"/>
  <c r="E325" i="26"/>
  <c r="E326" i="26"/>
  <c r="E327" i="26"/>
  <c r="E328" i="26"/>
  <c r="E329" i="26"/>
  <c r="E330" i="26"/>
  <c r="E331" i="26"/>
  <c r="E332" i="26"/>
  <c r="E333" i="26"/>
  <c r="E334" i="26"/>
  <c r="E335" i="26"/>
  <c r="E336" i="26"/>
  <c r="E337" i="26"/>
  <c r="E338" i="26"/>
  <c r="E339" i="26"/>
  <c r="E340" i="26"/>
  <c r="E341" i="26"/>
  <c r="E342" i="26"/>
  <c r="E343" i="26"/>
  <c r="E344" i="26"/>
  <c r="E345" i="26"/>
  <c r="E346" i="26"/>
  <c r="E347" i="26"/>
  <c r="E348" i="26"/>
  <c r="E349" i="26"/>
  <c r="E350" i="26"/>
  <c r="E351" i="26"/>
  <c r="E352" i="26"/>
  <c r="E353" i="26"/>
  <c r="E354" i="26"/>
  <c r="E355" i="26"/>
  <c r="E356" i="26"/>
  <c r="E357" i="26"/>
  <c r="E358" i="26"/>
  <c r="E359" i="26"/>
  <c r="E360" i="26"/>
  <c r="E361" i="26"/>
  <c r="E362" i="26"/>
  <c r="E363" i="26"/>
  <c r="E364" i="26"/>
  <c r="E365" i="26"/>
  <c r="E366" i="26"/>
  <c r="E367" i="26"/>
  <c r="E368" i="26"/>
  <c r="E369" i="26"/>
  <c r="E370" i="26"/>
  <c r="E371" i="26"/>
  <c r="E372" i="26"/>
  <c r="E373" i="26"/>
  <c r="E374" i="26"/>
  <c r="E375" i="26"/>
  <c r="E376" i="26"/>
  <c r="E377" i="26"/>
  <c r="E378" i="26"/>
  <c r="E379" i="26"/>
  <c r="E380" i="26"/>
  <c r="E381" i="26"/>
  <c r="E382" i="26"/>
  <c r="E383" i="26"/>
  <c r="E384" i="26"/>
  <c r="E385" i="26"/>
  <c r="E386" i="26"/>
  <c r="E387" i="26"/>
  <c r="E388" i="26"/>
  <c r="E389" i="26"/>
  <c r="E390" i="26"/>
  <c r="E391" i="26"/>
  <c r="E392" i="26"/>
  <c r="E393" i="26"/>
  <c r="E394" i="26"/>
  <c r="E395" i="26"/>
  <c r="E396" i="26"/>
  <c r="E397" i="26"/>
  <c r="E398" i="26"/>
  <c r="E399" i="26"/>
  <c r="E400" i="26"/>
  <c r="E401"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C300" i="26"/>
  <c r="C301" i="26"/>
  <c r="C302" i="26"/>
  <c r="C303" i="26"/>
  <c r="C304" i="26"/>
  <c r="C305" i="26"/>
  <c r="C306" i="26"/>
  <c r="C307" i="26"/>
  <c r="C308" i="26"/>
  <c r="C309" i="26"/>
  <c r="C310" i="26"/>
  <c r="C311" i="26"/>
  <c r="C312" i="26"/>
  <c r="C313" i="26"/>
  <c r="C314" i="26"/>
  <c r="C315" i="26"/>
  <c r="C316" i="26"/>
  <c r="C317" i="26"/>
  <c r="C318" i="26"/>
  <c r="C319" i="26"/>
  <c r="C320" i="26"/>
  <c r="C321" i="26"/>
  <c r="C322" i="26"/>
  <c r="C323" i="26"/>
  <c r="C324" i="26"/>
  <c r="C325" i="26"/>
  <c r="C326" i="26"/>
  <c r="C327" i="26"/>
  <c r="C328" i="26"/>
  <c r="C329" i="26"/>
  <c r="K329" i="26" s="1" a="1"/>
  <c r="K329" i="26" s="1"/>
  <c r="W329" i="26" s="1"/>
  <c r="C330" i="26"/>
  <c r="C331" i="26"/>
  <c r="C332" i="26"/>
  <c r="C333" i="26"/>
  <c r="C334" i="26"/>
  <c r="C335" i="26"/>
  <c r="C336" i="26"/>
  <c r="C337" i="26"/>
  <c r="C338" i="26"/>
  <c r="C339" i="26"/>
  <c r="C340" i="26"/>
  <c r="C341" i="26"/>
  <c r="C342" i="26"/>
  <c r="C343" i="26"/>
  <c r="C344" i="26"/>
  <c r="C345" i="26"/>
  <c r="C346" i="26"/>
  <c r="C347" i="26"/>
  <c r="C348" i="26"/>
  <c r="C349" i="26"/>
  <c r="C350" i="26"/>
  <c r="C351" i="26"/>
  <c r="C352" i="26"/>
  <c r="C353" i="26"/>
  <c r="C354" i="26"/>
  <c r="C355" i="26"/>
  <c r="C356" i="26"/>
  <c r="C357" i="26"/>
  <c r="C358" i="26"/>
  <c r="C359" i="26"/>
  <c r="C360" i="26"/>
  <c r="C361" i="26"/>
  <c r="C362" i="26"/>
  <c r="C363" i="26"/>
  <c r="C364" i="26"/>
  <c r="C365" i="26"/>
  <c r="C366" i="26"/>
  <c r="C367" i="26"/>
  <c r="C368" i="26"/>
  <c r="C369" i="26"/>
  <c r="C370" i="26"/>
  <c r="C371" i="26"/>
  <c r="C372" i="26"/>
  <c r="C373" i="26"/>
  <c r="C374" i="26"/>
  <c r="C375" i="26"/>
  <c r="C376" i="26"/>
  <c r="C377" i="26"/>
  <c r="C378" i="26"/>
  <c r="C379" i="26"/>
  <c r="C380" i="26"/>
  <c r="C381" i="26"/>
  <c r="C382" i="26"/>
  <c r="C383" i="26"/>
  <c r="C384" i="26"/>
  <c r="C385" i="26"/>
  <c r="C386" i="26"/>
  <c r="C387" i="26"/>
  <c r="C388" i="26"/>
  <c r="C389" i="26"/>
  <c r="C390" i="26"/>
  <c r="C391" i="26"/>
  <c r="C392" i="26"/>
  <c r="C393" i="26"/>
  <c r="J393" i="26" s="1" a="1"/>
  <c r="J393" i="26" s="1"/>
  <c r="C394" i="26"/>
  <c r="C395" i="26"/>
  <c r="C396" i="26"/>
  <c r="C397" i="26"/>
  <c r="C398" i="26"/>
  <c r="C399" i="26"/>
  <c r="C400" i="26"/>
  <c r="C401" i="26"/>
  <c r="C402" i="26"/>
  <c r="C403" i="26"/>
  <c r="C404" i="26"/>
  <c r="C405" i="26"/>
  <c r="B209" i="26"/>
  <c r="B210" i="26"/>
  <c r="B211" i="26"/>
  <c r="B212" i="26"/>
  <c r="B213" i="26"/>
  <c r="B214" i="26"/>
  <c r="B215" i="26"/>
  <c r="B216" i="26"/>
  <c r="B217" i="26"/>
  <c r="B218" i="26"/>
  <c r="B219" i="26"/>
  <c r="B220" i="26"/>
  <c r="B221" i="26"/>
  <c r="B222" i="26"/>
  <c r="B223" i="26"/>
  <c r="B224" i="26"/>
  <c r="B225" i="26"/>
  <c r="B226" i="26"/>
  <c r="B227" i="26"/>
  <c r="B228" i="26"/>
  <c r="B229" i="26"/>
  <c r="B230" i="26"/>
  <c r="B231" i="26"/>
  <c r="B232" i="26"/>
  <c r="B233" i="26"/>
  <c r="B234" i="26"/>
  <c r="B235" i="26"/>
  <c r="B236" i="26"/>
  <c r="B237" i="26"/>
  <c r="B238" i="26"/>
  <c r="B239" i="26"/>
  <c r="B240" i="26"/>
  <c r="B241" i="26"/>
  <c r="B242" i="26"/>
  <c r="B243" i="26"/>
  <c r="B244" i="26"/>
  <c r="B245" i="26"/>
  <c r="B246" i="26"/>
  <c r="B247" i="26"/>
  <c r="B248" i="26"/>
  <c r="B249" i="26"/>
  <c r="B250" i="26"/>
  <c r="B251" i="26"/>
  <c r="B252" i="26"/>
  <c r="B253" i="26"/>
  <c r="B254" i="26"/>
  <c r="B255" i="26"/>
  <c r="B256" i="26"/>
  <c r="B257" i="26"/>
  <c r="B258" i="26"/>
  <c r="B259" i="26"/>
  <c r="B260" i="26"/>
  <c r="B261" i="26"/>
  <c r="B262" i="26"/>
  <c r="B263" i="26"/>
  <c r="B264" i="26"/>
  <c r="B265" i="26"/>
  <c r="B266" i="26"/>
  <c r="B267" i="26"/>
  <c r="B268" i="26"/>
  <c r="B269" i="26"/>
  <c r="B270" i="26"/>
  <c r="B271" i="26"/>
  <c r="B272" i="26"/>
  <c r="B273" i="26"/>
  <c r="B274" i="26"/>
  <c r="B275" i="26"/>
  <c r="B276" i="26"/>
  <c r="B277" i="26"/>
  <c r="B278" i="26"/>
  <c r="B279" i="26"/>
  <c r="B280" i="26"/>
  <c r="B281" i="26"/>
  <c r="B282" i="26"/>
  <c r="B283" i="26"/>
  <c r="B284" i="26"/>
  <c r="B285" i="26"/>
  <c r="B286" i="26"/>
  <c r="B287" i="26"/>
  <c r="B288" i="26"/>
  <c r="B289" i="26"/>
  <c r="B290" i="26"/>
  <c r="B291" i="26"/>
  <c r="B292" i="26"/>
  <c r="B293" i="26"/>
  <c r="B294" i="26"/>
  <c r="B295" i="26"/>
  <c r="B297" i="26"/>
  <c r="B298" i="26"/>
  <c r="B299" i="26"/>
  <c r="B300" i="26"/>
  <c r="B301" i="26"/>
  <c r="B302" i="26"/>
  <c r="B303" i="26"/>
  <c r="B304" i="26"/>
  <c r="B305" i="26"/>
  <c r="B306" i="26"/>
  <c r="B307" i="26"/>
  <c r="B308" i="26"/>
  <c r="B309" i="26"/>
  <c r="B310" i="26"/>
  <c r="B311" i="26"/>
  <c r="B312" i="26"/>
  <c r="B313" i="26"/>
  <c r="B314" i="26"/>
  <c r="B315" i="26"/>
  <c r="B316" i="26"/>
  <c r="B317" i="26"/>
  <c r="B318" i="26"/>
  <c r="B319" i="26"/>
  <c r="B320" i="26"/>
  <c r="B321" i="26"/>
  <c r="B322" i="26"/>
  <c r="B323" i="26"/>
  <c r="B324" i="26"/>
  <c r="B325" i="26"/>
  <c r="B326" i="26"/>
  <c r="B327" i="26"/>
  <c r="B328" i="26"/>
  <c r="B329" i="26"/>
  <c r="B330" i="26"/>
  <c r="B331" i="26"/>
  <c r="B332" i="26"/>
  <c r="B333" i="26"/>
  <c r="B334" i="26"/>
  <c r="B335" i="26"/>
  <c r="B336" i="26"/>
  <c r="B337" i="26"/>
  <c r="B338" i="26"/>
  <c r="B339" i="26"/>
  <c r="B340" i="26"/>
  <c r="B341" i="26"/>
  <c r="B342" i="26"/>
  <c r="B343" i="26"/>
  <c r="B344" i="26"/>
  <c r="B345" i="26"/>
  <c r="B346" i="26"/>
  <c r="B347" i="26"/>
  <c r="B348" i="26"/>
  <c r="B349" i="26"/>
  <c r="B350" i="26"/>
  <c r="B351" i="26"/>
  <c r="B352" i="26"/>
  <c r="B353" i="26"/>
  <c r="B354" i="26"/>
  <c r="B355" i="26"/>
  <c r="B356" i="26"/>
  <c r="B357" i="26"/>
  <c r="B358" i="26"/>
  <c r="B359" i="26"/>
  <c r="B360" i="26"/>
  <c r="B361" i="26"/>
  <c r="B362" i="26"/>
  <c r="B363" i="26"/>
  <c r="B364" i="26"/>
  <c r="B365" i="26"/>
  <c r="B366" i="26"/>
  <c r="B367" i="26"/>
  <c r="B368" i="26"/>
  <c r="B369" i="26"/>
  <c r="B370" i="26"/>
  <c r="B371" i="26"/>
  <c r="B372" i="26"/>
  <c r="B373" i="26"/>
  <c r="B374" i="26"/>
  <c r="B375" i="26"/>
  <c r="B376" i="26"/>
  <c r="B377" i="26"/>
  <c r="B378" i="26"/>
  <c r="B379" i="26"/>
  <c r="B380" i="26"/>
  <c r="B381" i="26"/>
  <c r="B382" i="26"/>
  <c r="B383" i="26"/>
  <c r="B384" i="26"/>
  <c r="B385" i="26"/>
  <c r="B386" i="26"/>
  <c r="B387" i="26"/>
  <c r="B388" i="26"/>
  <c r="B389" i="26"/>
  <c r="B390" i="26"/>
  <c r="B391" i="26"/>
  <c r="B392" i="26"/>
  <c r="B393" i="26"/>
  <c r="B394" i="26"/>
  <c r="B395" i="26"/>
  <c r="B396" i="26"/>
  <c r="B397" i="26"/>
  <c r="B398" i="26"/>
  <c r="B399" i="26"/>
  <c r="B400" i="26"/>
  <c r="B401" i="26"/>
  <c r="B402" i="26"/>
  <c r="B403" i="26"/>
  <c r="B404" i="26"/>
  <c r="B405" i="26"/>
  <c r="B406" i="26"/>
  <c r="B407" i="26"/>
  <c r="B208" i="26"/>
  <c r="CE142" i="28"/>
  <c r="J139" i="28"/>
  <c r="AM139" i="28" s="1"/>
  <c r="J140" i="28"/>
  <c r="AU140" i="28" s="1"/>
  <c r="J141" i="28"/>
  <c r="BT141" i="28" s="1"/>
  <c r="G46" i="9"/>
  <c r="H46" i="9"/>
  <c r="I46" i="9"/>
  <c r="D137" i="28"/>
  <c r="H137" i="28"/>
  <c r="I137" i="28"/>
  <c r="J137" i="28"/>
  <c r="BS137" i="28" s="1"/>
  <c r="N137" i="28"/>
  <c r="P137" i="28"/>
  <c r="R137" i="28"/>
  <c r="T137" i="28"/>
  <c r="V137" i="28"/>
  <c r="D138" i="28"/>
  <c r="H138" i="28"/>
  <c r="I138" i="28"/>
  <c r="J138" i="28"/>
  <c r="BQ138" i="28" s="1"/>
  <c r="N138" i="28"/>
  <c r="P138" i="28"/>
  <c r="R138" i="28"/>
  <c r="T138" i="28"/>
  <c r="V138" i="28"/>
  <c r="D139" i="28"/>
  <c r="H139" i="28"/>
  <c r="I139" i="28"/>
  <c r="N139" i="28"/>
  <c r="P139" i="28"/>
  <c r="R139" i="28"/>
  <c r="T139" i="28"/>
  <c r="V139" i="28"/>
  <c r="BW139" i="28"/>
  <c r="D140" i="28"/>
  <c r="E140" i="28"/>
  <c r="H140" i="28"/>
  <c r="I140" i="28"/>
  <c r="N140" i="28"/>
  <c r="P140" i="28"/>
  <c r="R140" i="28"/>
  <c r="T140" i="28"/>
  <c r="V140" i="28"/>
  <c r="D141" i="28"/>
  <c r="E141" i="28"/>
  <c r="Q141" i="28" s="1" a="1"/>
  <c r="Q141" i="28" s="1"/>
  <c r="H141" i="28"/>
  <c r="I141" i="28"/>
  <c r="N141" i="28"/>
  <c r="P141" i="28"/>
  <c r="R141" i="28"/>
  <c r="T141" i="28"/>
  <c r="V141" i="28"/>
  <c r="BN141" i="28"/>
  <c r="D24" i="28"/>
  <c r="D23" i="28"/>
  <c r="D22" i="28"/>
  <c r="D21" i="28"/>
  <c r="V49" i="28"/>
  <c r="V50" i="28"/>
  <c r="V51" i="28"/>
  <c r="V52" i="28"/>
  <c r="V53" i="28"/>
  <c r="V54" i="28"/>
  <c r="V55" i="28"/>
  <c r="V56" i="28"/>
  <c r="V57" i="28"/>
  <c r="V58" i="28"/>
  <c r="V59" i="28"/>
  <c r="V60" i="28"/>
  <c r="V61" i="28"/>
  <c r="V62" i="28"/>
  <c r="V63" i="28"/>
  <c r="V64" i="28"/>
  <c r="V65" i="28"/>
  <c r="V66" i="28"/>
  <c r="V67" i="28"/>
  <c r="V68" i="28"/>
  <c r="V69" i="28"/>
  <c r="V70" i="28"/>
  <c r="V71" i="28"/>
  <c r="V72" i="28"/>
  <c r="V73" i="28"/>
  <c r="V74" i="28"/>
  <c r="V75" i="28"/>
  <c r="V76" i="28"/>
  <c r="V77" i="28"/>
  <c r="V78" i="28"/>
  <c r="V79" i="28"/>
  <c r="V80" i="28"/>
  <c r="V81" i="28"/>
  <c r="V82" i="28"/>
  <c r="V83" i="28"/>
  <c r="V84" i="28"/>
  <c r="V85" i="28"/>
  <c r="V86" i="28"/>
  <c r="V87" i="28"/>
  <c r="V88" i="28"/>
  <c r="V89" i="28"/>
  <c r="V90" i="28"/>
  <c r="V91" i="28"/>
  <c r="V92" i="28"/>
  <c r="V93" i="28"/>
  <c r="V94" i="28"/>
  <c r="V95" i="28"/>
  <c r="V96" i="28"/>
  <c r="V97" i="28"/>
  <c r="V98" i="28"/>
  <c r="V99" i="28"/>
  <c r="V100" i="28"/>
  <c r="V101" i="28"/>
  <c r="V102" i="28"/>
  <c r="V103" i="28"/>
  <c r="V104" i="28"/>
  <c r="V105" i="28"/>
  <c r="V106" i="28"/>
  <c r="V107" i="28"/>
  <c r="V108" i="28"/>
  <c r="V109" i="28"/>
  <c r="V110" i="28"/>
  <c r="V111" i="28"/>
  <c r="V112" i="28"/>
  <c r="V113" i="28"/>
  <c r="V114" i="28"/>
  <c r="V115" i="28"/>
  <c r="V116" i="28"/>
  <c r="V117" i="28"/>
  <c r="V118" i="28"/>
  <c r="V119" i="28"/>
  <c r="V120" i="28"/>
  <c r="V121" i="28"/>
  <c r="V122" i="28"/>
  <c r="V123" i="28"/>
  <c r="V124" i="28"/>
  <c r="V125" i="28"/>
  <c r="V126" i="28"/>
  <c r="V127" i="28"/>
  <c r="V128" i="28"/>
  <c r="V129" i="28"/>
  <c r="V130" i="28"/>
  <c r="V131" i="28"/>
  <c r="V132" i="28"/>
  <c r="V133" i="28"/>
  <c r="V134" i="28"/>
  <c r="V135" i="28"/>
  <c r="V136" i="28"/>
  <c r="V48" i="28"/>
  <c r="D7" i="28"/>
  <c r="D11" i="28"/>
  <c r="BF142" i="28"/>
  <c r="BF143" i="28"/>
  <c r="D37" i="28"/>
  <c r="I49" i="28"/>
  <c r="I50" i="28"/>
  <c r="I51" i="28"/>
  <c r="I52" i="28"/>
  <c r="I53" i="28"/>
  <c r="I54" i="28"/>
  <c r="I55" i="28"/>
  <c r="I56" i="28"/>
  <c r="I57" i="28"/>
  <c r="I58" i="28"/>
  <c r="I59" i="28"/>
  <c r="I60" i="28"/>
  <c r="I61" i="28"/>
  <c r="I62" i="28"/>
  <c r="I63" i="28"/>
  <c r="I64" i="28"/>
  <c r="I65" i="28"/>
  <c r="I66" i="28"/>
  <c r="I67" i="28"/>
  <c r="I68" i="28"/>
  <c r="I69" i="28"/>
  <c r="I70" i="28"/>
  <c r="I71" i="28"/>
  <c r="I72" i="28"/>
  <c r="I73" i="28"/>
  <c r="I74" i="28"/>
  <c r="I75" i="28"/>
  <c r="I76" i="28"/>
  <c r="I77" i="28"/>
  <c r="I78" i="28"/>
  <c r="I79" i="28"/>
  <c r="I80" i="28"/>
  <c r="I81" i="28"/>
  <c r="I82" i="28"/>
  <c r="I83" i="28"/>
  <c r="I84" i="28"/>
  <c r="I85" i="28"/>
  <c r="I86" i="28"/>
  <c r="I87" i="28"/>
  <c r="I88" i="28"/>
  <c r="I89" i="28"/>
  <c r="I90" i="28"/>
  <c r="I91" i="28"/>
  <c r="I92" i="28"/>
  <c r="I93" i="28"/>
  <c r="I94" i="28"/>
  <c r="I95" i="28"/>
  <c r="I96" i="28"/>
  <c r="I97" i="28"/>
  <c r="I98" i="28"/>
  <c r="I99" i="28"/>
  <c r="I100" i="28"/>
  <c r="I101" i="28"/>
  <c r="I102" i="28"/>
  <c r="I103" i="28"/>
  <c r="I104" i="28"/>
  <c r="I105" i="28"/>
  <c r="I106" i="28"/>
  <c r="I107" i="28"/>
  <c r="I108" i="28"/>
  <c r="I109" i="28"/>
  <c r="I110" i="28"/>
  <c r="I111" i="28"/>
  <c r="I112" i="28"/>
  <c r="I113" i="28"/>
  <c r="I114" i="28"/>
  <c r="I115" i="28"/>
  <c r="I116" i="28"/>
  <c r="I117" i="28"/>
  <c r="I118" i="28"/>
  <c r="I119" i="28"/>
  <c r="I120" i="28"/>
  <c r="I121" i="28"/>
  <c r="I122" i="28"/>
  <c r="I123" i="28"/>
  <c r="I124" i="28"/>
  <c r="I125" i="28"/>
  <c r="I126" i="28"/>
  <c r="I127" i="28"/>
  <c r="I128" i="28"/>
  <c r="I129" i="28"/>
  <c r="I130" i="28"/>
  <c r="I131" i="28"/>
  <c r="I132" i="28"/>
  <c r="I133" i="28"/>
  <c r="I134" i="28"/>
  <c r="I135" i="28"/>
  <c r="I136" i="28"/>
  <c r="I48" i="28"/>
  <c r="D17" i="28"/>
  <c r="D18" i="28"/>
  <c r="D19" i="28"/>
  <c r="D20" i="28"/>
  <c r="T49" i="28"/>
  <c r="T50" i="28"/>
  <c r="T51" i="28"/>
  <c r="T52" i="28"/>
  <c r="T53" i="28"/>
  <c r="T54" i="28"/>
  <c r="T55" i="28"/>
  <c r="T56" i="28"/>
  <c r="T57" i="28"/>
  <c r="T58" i="28"/>
  <c r="T59" i="28"/>
  <c r="T60" i="28"/>
  <c r="T61" i="28"/>
  <c r="T62" i="28"/>
  <c r="T63" i="28"/>
  <c r="T64" i="28"/>
  <c r="T65" i="28"/>
  <c r="T66" i="28"/>
  <c r="T67" i="28"/>
  <c r="T68" i="28"/>
  <c r="T69" i="28"/>
  <c r="T70" i="28"/>
  <c r="T71" i="28"/>
  <c r="T72" i="28"/>
  <c r="T73" i="28"/>
  <c r="T74" i="28"/>
  <c r="T75" i="28"/>
  <c r="T76" i="28"/>
  <c r="T77" i="28"/>
  <c r="T78" i="28"/>
  <c r="T79" i="28"/>
  <c r="T80" i="28"/>
  <c r="T81" i="28"/>
  <c r="T82" i="28"/>
  <c r="T83" i="28"/>
  <c r="T84" i="28"/>
  <c r="T85" i="28"/>
  <c r="T86" i="28"/>
  <c r="T87" i="28"/>
  <c r="T88" i="28"/>
  <c r="T89" i="28"/>
  <c r="T90" i="28"/>
  <c r="T91" i="28"/>
  <c r="T92" i="28"/>
  <c r="T93" i="28"/>
  <c r="T94" i="28"/>
  <c r="T95" i="28"/>
  <c r="T96" i="28"/>
  <c r="T97" i="28"/>
  <c r="T98" i="28"/>
  <c r="T99" i="28"/>
  <c r="T100" i="28"/>
  <c r="T101" i="28"/>
  <c r="T102" i="28"/>
  <c r="T103" i="28"/>
  <c r="T104" i="28"/>
  <c r="T105" i="28"/>
  <c r="T106" i="28"/>
  <c r="T107" i="28"/>
  <c r="T108" i="28"/>
  <c r="T109" i="28"/>
  <c r="T110" i="28"/>
  <c r="T111" i="28"/>
  <c r="T112" i="28"/>
  <c r="T113" i="28"/>
  <c r="T114" i="28"/>
  <c r="T115" i="28"/>
  <c r="T116" i="28"/>
  <c r="T117" i="28"/>
  <c r="T118" i="28"/>
  <c r="T119" i="28"/>
  <c r="T120" i="28"/>
  <c r="T121" i="28"/>
  <c r="T122" i="28"/>
  <c r="T123" i="28"/>
  <c r="T124" i="28"/>
  <c r="T125" i="28"/>
  <c r="T126" i="28"/>
  <c r="T127" i="28"/>
  <c r="T128" i="28"/>
  <c r="T129" i="28"/>
  <c r="T130" i="28"/>
  <c r="T131" i="28"/>
  <c r="T132" i="28"/>
  <c r="T133" i="28"/>
  <c r="T134" i="28"/>
  <c r="T135" i="28"/>
  <c r="T136" i="28"/>
  <c r="T48" i="28"/>
  <c r="R49" i="28"/>
  <c r="R50" i="28"/>
  <c r="R51" i="28"/>
  <c r="R52" i="28"/>
  <c r="R53" i="28"/>
  <c r="R54" i="28"/>
  <c r="R55" i="28"/>
  <c r="R56" i="28"/>
  <c r="R57" i="28"/>
  <c r="R58" i="28"/>
  <c r="R59" i="28"/>
  <c r="R60" i="28"/>
  <c r="R61" i="28"/>
  <c r="R62" i="28"/>
  <c r="R63" i="28"/>
  <c r="R64" i="28"/>
  <c r="R65" i="28"/>
  <c r="R66" i="28"/>
  <c r="R67" i="28"/>
  <c r="R68" i="28"/>
  <c r="R69" i="28"/>
  <c r="R70" i="28"/>
  <c r="R71" i="28"/>
  <c r="R72" i="28"/>
  <c r="R73" i="28"/>
  <c r="R74" i="28"/>
  <c r="R75" i="28"/>
  <c r="R76" i="28"/>
  <c r="R77" i="28"/>
  <c r="R78" i="28"/>
  <c r="R79" i="28"/>
  <c r="R80" i="28"/>
  <c r="R81" i="28"/>
  <c r="R82" i="28"/>
  <c r="R83" i="28"/>
  <c r="R84" i="28"/>
  <c r="R85" i="28"/>
  <c r="R86" i="28"/>
  <c r="R87" i="28"/>
  <c r="R88" i="28"/>
  <c r="R89" i="28"/>
  <c r="R90" i="28"/>
  <c r="R91" i="28"/>
  <c r="R92" i="28"/>
  <c r="R93" i="28"/>
  <c r="R94" i="28"/>
  <c r="R95" i="28"/>
  <c r="R96" i="28"/>
  <c r="R97" i="28"/>
  <c r="R98" i="28"/>
  <c r="R99" i="28"/>
  <c r="R100" i="28"/>
  <c r="R101" i="28"/>
  <c r="R102" i="28"/>
  <c r="R103" i="28"/>
  <c r="R104" i="28"/>
  <c r="R105" i="28"/>
  <c r="R106" i="28"/>
  <c r="R107" i="28"/>
  <c r="R108" i="28"/>
  <c r="R109" i="28"/>
  <c r="R110" i="28"/>
  <c r="R111" i="28"/>
  <c r="R112" i="28"/>
  <c r="R113" i="28"/>
  <c r="R114" i="28"/>
  <c r="R115" i="28"/>
  <c r="R116" i="28"/>
  <c r="R117" i="28"/>
  <c r="R118" i="28"/>
  <c r="R119" i="28"/>
  <c r="R120" i="28"/>
  <c r="R121" i="28"/>
  <c r="R122" i="28"/>
  <c r="R123" i="28"/>
  <c r="R124" i="28"/>
  <c r="R125" i="28"/>
  <c r="R126" i="28"/>
  <c r="R127" i="28"/>
  <c r="R128" i="28"/>
  <c r="R129" i="28"/>
  <c r="R130" i="28"/>
  <c r="R131" i="28"/>
  <c r="R132" i="28"/>
  <c r="R133" i="28"/>
  <c r="R134" i="28"/>
  <c r="R135" i="28"/>
  <c r="R136" i="28"/>
  <c r="R48" i="28"/>
  <c r="P49" i="28"/>
  <c r="P50" i="28"/>
  <c r="P51" i="28"/>
  <c r="P52" i="28"/>
  <c r="P53" i="28"/>
  <c r="P54" i="28"/>
  <c r="P55" i="28"/>
  <c r="P56" i="28"/>
  <c r="P57" i="28"/>
  <c r="P58" i="28"/>
  <c r="P59" i="28"/>
  <c r="P60" i="28"/>
  <c r="P61" i="28"/>
  <c r="P62" i="28"/>
  <c r="P63" i="28"/>
  <c r="P64" i="28"/>
  <c r="P65" i="28"/>
  <c r="P66" i="28"/>
  <c r="P67" i="28"/>
  <c r="P68" i="28"/>
  <c r="P69" i="28"/>
  <c r="P70" i="28"/>
  <c r="P71" i="28"/>
  <c r="P72" i="28"/>
  <c r="P73" i="28"/>
  <c r="P74" i="28"/>
  <c r="P75" i="28"/>
  <c r="P76" i="28"/>
  <c r="P77" i="28"/>
  <c r="P78" i="28"/>
  <c r="P79" i="28"/>
  <c r="P80" i="28"/>
  <c r="P81" i="28"/>
  <c r="P82" i="28"/>
  <c r="P83" i="28"/>
  <c r="P84" i="28"/>
  <c r="P85" i="28"/>
  <c r="P86" i="28"/>
  <c r="P87" i="28"/>
  <c r="P88" i="28"/>
  <c r="P89" i="28"/>
  <c r="P90" i="28"/>
  <c r="P91" i="28"/>
  <c r="P92" i="28"/>
  <c r="P93" i="28"/>
  <c r="P94" i="28"/>
  <c r="P95" i="28"/>
  <c r="P96" i="28"/>
  <c r="P97" i="28"/>
  <c r="P98" i="28"/>
  <c r="P99" i="28"/>
  <c r="P100" i="28"/>
  <c r="P101" i="28"/>
  <c r="P102" i="28"/>
  <c r="P103" i="28"/>
  <c r="P104" i="28"/>
  <c r="P105" i="28"/>
  <c r="P106" i="28"/>
  <c r="P107" i="28"/>
  <c r="P108" i="28"/>
  <c r="P109" i="28"/>
  <c r="P110" i="28"/>
  <c r="P111" i="28"/>
  <c r="P112" i="28"/>
  <c r="P113" i="28"/>
  <c r="P114" i="28"/>
  <c r="P115" i="28"/>
  <c r="P116" i="28"/>
  <c r="P117" i="28"/>
  <c r="P118" i="28"/>
  <c r="P119" i="28"/>
  <c r="P120" i="28"/>
  <c r="P121" i="28"/>
  <c r="P122" i="28"/>
  <c r="P123" i="28"/>
  <c r="P124" i="28"/>
  <c r="P125" i="28"/>
  <c r="P126" i="28"/>
  <c r="P127" i="28"/>
  <c r="P128" i="28"/>
  <c r="P129" i="28"/>
  <c r="P130" i="28"/>
  <c r="P131" i="28"/>
  <c r="P132" i="28"/>
  <c r="P133" i="28"/>
  <c r="P134" i="28"/>
  <c r="P135" i="28"/>
  <c r="P136" i="28"/>
  <c r="P48" i="28"/>
  <c r="N49" i="28"/>
  <c r="N50" i="28"/>
  <c r="N51" i="28"/>
  <c r="N52" i="28"/>
  <c r="N53" i="28"/>
  <c r="N54" i="28"/>
  <c r="N55" i="28"/>
  <c r="N56" i="28"/>
  <c r="N57" i="28"/>
  <c r="N58" i="28"/>
  <c r="N59" i="28"/>
  <c r="N60" i="28"/>
  <c r="N61" i="28"/>
  <c r="N62" i="28"/>
  <c r="N63" i="28"/>
  <c r="N64" i="28"/>
  <c r="N65" i="28"/>
  <c r="N66" i="28"/>
  <c r="N67" i="28"/>
  <c r="N68" i="28"/>
  <c r="N69" i="28"/>
  <c r="N70" i="28"/>
  <c r="N71" i="28"/>
  <c r="N72" i="28"/>
  <c r="N73" i="28"/>
  <c r="N74" i="28"/>
  <c r="N75" i="28"/>
  <c r="N76" i="28"/>
  <c r="N77" i="28"/>
  <c r="N78" i="28"/>
  <c r="N79" i="28"/>
  <c r="N80" i="28"/>
  <c r="N81" i="28"/>
  <c r="N82" i="28"/>
  <c r="N83" i="28"/>
  <c r="N84" i="28"/>
  <c r="N85" i="28"/>
  <c r="N86" i="28"/>
  <c r="N87" i="28"/>
  <c r="N88" i="28"/>
  <c r="N89" i="28"/>
  <c r="N90" i="28"/>
  <c r="N91" i="28"/>
  <c r="N92" i="28"/>
  <c r="N93" i="28"/>
  <c r="N94" i="28"/>
  <c r="N95" i="28"/>
  <c r="N96" i="28"/>
  <c r="N97" i="28"/>
  <c r="N98" i="28"/>
  <c r="N99" i="28"/>
  <c r="N100" i="28"/>
  <c r="N101" i="28"/>
  <c r="N102" i="28"/>
  <c r="N103" i="28"/>
  <c r="N104" i="28"/>
  <c r="N105" i="28"/>
  <c r="N106" i="28"/>
  <c r="N107" i="28"/>
  <c r="N108" i="28"/>
  <c r="N109" i="28"/>
  <c r="N110" i="28"/>
  <c r="N111" i="28"/>
  <c r="N112" i="28"/>
  <c r="N113" i="28"/>
  <c r="N114" i="28"/>
  <c r="N115" i="28"/>
  <c r="N116" i="28"/>
  <c r="N117" i="28"/>
  <c r="N118" i="28"/>
  <c r="N119" i="28"/>
  <c r="N120" i="28"/>
  <c r="N121" i="28"/>
  <c r="N122" i="28"/>
  <c r="N123" i="28"/>
  <c r="N124" i="28"/>
  <c r="N125" i="28"/>
  <c r="N126" i="28"/>
  <c r="N127" i="28"/>
  <c r="N128" i="28"/>
  <c r="N129" i="28"/>
  <c r="N130" i="28"/>
  <c r="N131" i="28"/>
  <c r="N132" i="28"/>
  <c r="N133" i="28"/>
  <c r="N134" i="28"/>
  <c r="N135" i="28"/>
  <c r="N136" i="28"/>
  <c r="N48" i="28"/>
  <c r="D13" i="28"/>
  <c r="CC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48" i="28"/>
  <c r="D35" i="27"/>
  <c r="D34" i="27"/>
  <c r="C129" i="27"/>
  <c r="C130" i="27"/>
  <c r="C131" i="27"/>
  <c r="C132" i="27"/>
  <c r="C47" i="27"/>
  <c r="C48" i="27"/>
  <c r="C49" i="27"/>
  <c r="C50" i="27"/>
  <c r="C51" i="27"/>
  <c r="C52" i="27"/>
  <c r="C53" i="27"/>
  <c r="C54" i="27"/>
  <c r="C55" i="27"/>
  <c r="C56" i="27"/>
  <c r="C57" i="27"/>
  <c r="C58" i="27"/>
  <c r="C59" i="27"/>
  <c r="C60" i="27"/>
  <c r="C61" i="27"/>
  <c r="C62" i="27"/>
  <c r="C63" i="27"/>
  <c r="C64" i="27"/>
  <c r="C65" i="27"/>
  <c r="C66" i="27"/>
  <c r="C67" i="27"/>
  <c r="C68" i="27"/>
  <c r="C69" i="27"/>
  <c r="C70" i="27"/>
  <c r="C71" i="27"/>
  <c r="C72" i="27"/>
  <c r="C73" i="27"/>
  <c r="C74" i="27"/>
  <c r="C75" i="27"/>
  <c r="C76" i="27"/>
  <c r="C77" i="27"/>
  <c r="C78" i="27"/>
  <c r="C79" i="27"/>
  <c r="C80" i="27"/>
  <c r="C81" i="27"/>
  <c r="C82" i="27"/>
  <c r="C83" i="27"/>
  <c r="C84" i="27"/>
  <c r="C85" i="27"/>
  <c r="C86" i="27"/>
  <c r="C87" i="27"/>
  <c r="C88" i="27"/>
  <c r="C89" i="27"/>
  <c r="C90" i="27"/>
  <c r="C91" i="27"/>
  <c r="C92" i="27"/>
  <c r="C93" i="27"/>
  <c r="C94" i="27"/>
  <c r="C95" i="27"/>
  <c r="C96" i="27"/>
  <c r="C97" i="27"/>
  <c r="C98" i="27"/>
  <c r="C99" i="27"/>
  <c r="C100" i="27"/>
  <c r="C101" i="27"/>
  <c r="C102" i="27"/>
  <c r="C103" i="27"/>
  <c r="C104" i="27"/>
  <c r="C105" i="27"/>
  <c r="C106" i="27"/>
  <c r="C107" i="27"/>
  <c r="C108" i="27"/>
  <c r="C109" i="27"/>
  <c r="C110" i="27"/>
  <c r="C111" i="27"/>
  <c r="C112" i="27"/>
  <c r="C113" i="27"/>
  <c r="C114" i="27"/>
  <c r="C115" i="27"/>
  <c r="C116" i="27"/>
  <c r="C117" i="27"/>
  <c r="C118" i="27"/>
  <c r="C119" i="27"/>
  <c r="C120" i="27"/>
  <c r="C121" i="27"/>
  <c r="C122" i="27"/>
  <c r="C123" i="27"/>
  <c r="C124" i="27"/>
  <c r="C125" i="27"/>
  <c r="C126" i="27"/>
  <c r="C127" i="27"/>
  <c r="C128" i="27"/>
  <c r="C46" i="27"/>
  <c r="C45" i="27"/>
  <c r="E45" i="27"/>
  <c r="D45" i="27" s="1"/>
  <c r="Z6" i="26"/>
  <c r="H8" i="9"/>
  <c r="Z7" i="26"/>
  <c r="H9" i="9"/>
  <c r="Z8" i="26"/>
  <c r="Z9" i="26"/>
  <c r="H11" i="9" s="1"/>
  <c r="Z11" i="26"/>
  <c r="Z12" i="26"/>
  <c r="Z4" i="26"/>
  <c r="H6" i="9"/>
  <c r="D30" i="28"/>
  <c r="D14" i="28"/>
  <c r="D15" i="28"/>
  <c r="D16" i="28"/>
  <c r="D9" i="28"/>
  <c r="D10" i="28"/>
  <c r="D12" i="28"/>
  <c r="D6" i="28"/>
  <c r="D8" i="28"/>
  <c r="D5" i="28"/>
  <c r="H6" i="28"/>
  <c r="I6" i="28"/>
  <c r="J6" i="28"/>
  <c r="H7" i="28"/>
  <c r="I7" i="28"/>
  <c r="J7" i="28"/>
  <c r="H8" i="28"/>
  <c r="I8" i="28"/>
  <c r="J8" i="28"/>
  <c r="H9" i="28"/>
  <c r="I9" i="28"/>
  <c r="J9" i="28"/>
  <c r="H10" i="28"/>
  <c r="I10" i="28"/>
  <c r="J10" i="28"/>
  <c r="I5" i="28"/>
  <c r="J5" i="28"/>
  <c r="H5" i="28"/>
  <c r="D32" i="28"/>
  <c r="D27" i="28"/>
  <c r="D25" i="28"/>
  <c r="BX44" i="28"/>
  <c r="AX45" i="27"/>
  <c r="D26" i="27"/>
  <c r="C17" i="27"/>
  <c r="C16" i="27"/>
  <c r="C15" i="27"/>
  <c r="AB13" i="27"/>
  <c r="AA12" i="27"/>
  <c r="Z12" i="27"/>
  <c r="X11" i="27"/>
  <c r="X12" i="27"/>
  <c r="Y12" i="27"/>
  <c r="W10" i="27"/>
  <c r="V10" i="27"/>
  <c r="AF8" i="27" a="1"/>
  <c r="P7" i="27"/>
  <c r="Q6" i="27"/>
  <c r="AB140" i="28"/>
  <c r="H10" i="9"/>
  <c r="Z10" i="26"/>
  <c r="H12" i="9"/>
  <c r="AB101" i="28"/>
  <c r="AG101" i="28" s="1"/>
  <c r="AB87" i="28"/>
  <c r="AB86" i="28"/>
  <c r="AB125" i="28"/>
  <c r="AB62" i="28"/>
  <c r="AB78" i="28"/>
  <c r="AB110" i="28"/>
  <c r="AB63" i="28"/>
  <c r="AB79" i="28"/>
  <c r="AB127" i="28"/>
  <c r="AB64" i="28"/>
  <c r="AB80" i="28"/>
  <c r="AB96" i="28"/>
  <c r="AB65" i="28"/>
  <c r="AB81" i="28"/>
  <c r="AB97" i="28"/>
  <c r="AB66" i="28"/>
  <c r="AB82" i="28"/>
  <c r="AB98" i="28"/>
  <c r="AB114" i="28"/>
  <c r="AB99" i="28"/>
  <c r="AB52" i="28"/>
  <c r="AB68" i="28"/>
  <c r="AB84" i="28"/>
  <c r="AB100" i="28"/>
  <c r="AB116" i="28"/>
  <c r="AB132" i="28"/>
  <c r="AB56" i="28"/>
  <c r="AB88" i="28"/>
  <c r="AB136" i="28"/>
  <c r="AB57" i="28"/>
  <c r="AB73" i="28"/>
  <c r="AB58" i="28"/>
  <c r="AB90" i="28"/>
  <c r="AB106" i="28"/>
  <c r="AB122" i="28"/>
  <c r="AB59" i="28"/>
  <c r="AB75" i="28"/>
  <c r="AB107" i="28"/>
  <c r="AB60" i="28"/>
  <c r="AB76" i="28"/>
  <c r="AB92" i="28"/>
  <c r="AB55" i="28"/>
  <c r="AB134" i="28"/>
  <c r="AB53" i="28"/>
  <c r="AB133" i="28"/>
  <c r="AB118" i="28"/>
  <c r="AB103" i="28"/>
  <c r="X13" i="27"/>
  <c r="AH10" i="27" a="1"/>
  <c r="AI10" i="27"/>
  <c r="Y11" i="27"/>
  <c r="W11" i="27"/>
  <c r="P8" i="27"/>
  <c r="AD7" i="27" a="1"/>
  <c r="N7" i="27"/>
  <c r="AD6" i="27" a="1"/>
  <c r="AC13" i="27"/>
  <c r="AA13" i="27"/>
  <c r="N6" i="27"/>
  <c r="O6" i="27"/>
  <c r="Q7" i="27"/>
  <c r="O7" i="27"/>
  <c r="Z13" i="27"/>
  <c r="AB14" i="27"/>
  <c r="AJ13" i="27" a="1"/>
  <c r="V11" i="27"/>
  <c r="V12" i="27"/>
  <c r="AG8" i="27"/>
  <c r="AF8" i="27"/>
  <c r="AF9" i="27" a="1"/>
  <c r="W12" i="27"/>
  <c r="AJ12" i="27" a="1"/>
  <c r="AH11" i="27" a="1"/>
  <c r="AH12" i="27" a="1"/>
  <c r="Y13" i="27"/>
  <c r="V13" i="27"/>
  <c r="W13" i="27"/>
  <c r="AH12" i="27"/>
  <c r="AI12" i="27"/>
  <c r="AH10" i="27"/>
  <c r="AI11" i="27"/>
  <c r="AH11" i="27"/>
  <c r="AF10" i="27" a="1"/>
  <c r="AE6" i="27"/>
  <c r="AD6" i="27"/>
  <c r="AC14" i="27"/>
  <c r="AA14" i="27"/>
  <c r="Z14" i="27"/>
  <c r="AK12" i="27"/>
  <c r="AJ12" i="27"/>
  <c r="AK13" i="27"/>
  <c r="AJ13" i="27"/>
  <c r="N8" i="27"/>
  <c r="Q8" i="27"/>
  <c r="O8" i="27"/>
  <c r="P9" i="27"/>
  <c r="AG9" i="27"/>
  <c r="AF9" i="27"/>
  <c r="AD7" i="27"/>
  <c r="AE7" i="27"/>
  <c r="BW137" i="28"/>
  <c r="Q9" i="27"/>
  <c r="O9" i="27"/>
  <c r="N9" i="27"/>
  <c r="AD8" i="27" a="1"/>
  <c r="AG10" i="27"/>
  <c r="AF10" i="27"/>
  <c r="BW141" i="28"/>
  <c r="AD8" i="27"/>
  <c r="AE8" i="27"/>
  <c r="BW140" i="28"/>
  <c r="BW138" i="28"/>
  <c r="H8" i="26"/>
  <c r="H7" i="26"/>
  <c r="C62" i="26"/>
  <c r="C63" i="26"/>
  <c r="C64" i="26"/>
  <c r="C65" i="26"/>
  <c r="C66" i="26"/>
  <c r="C68" i="26"/>
  <c r="C69" i="26"/>
  <c r="C61" i="26"/>
  <c r="C43" i="26"/>
  <c r="C44" i="26"/>
  <c r="C45" i="26"/>
  <c r="J65" i="26" s="1"/>
  <c r="C46" i="26"/>
  <c r="J66" i="26" s="1"/>
  <c r="C48" i="26"/>
  <c r="C49" i="26"/>
  <c r="C41" i="26"/>
  <c r="H6" i="26"/>
  <c r="C24" i="26"/>
  <c r="C25" i="26"/>
  <c r="C26" i="26"/>
  <c r="C27" i="26"/>
  <c r="D27" i="26" s="1" a="1"/>
  <c r="D27" i="26" s="1"/>
  <c r="C29" i="26"/>
  <c r="C30" i="26"/>
  <c r="C22" i="26"/>
  <c r="C28" i="26"/>
  <c r="N7" i="26"/>
  <c r="N8" i="26"/>
  <c r="N6" i="26"/>
  <c r="I10" i="6"/>
  <c r="S28" i="26" a="1"/>
  <c r="S28" i="26" s="1"/>
  <c r="U24" i="26" a="1"/>
  <c r="U24" i="26" s="1"/>
  <c r="U28" i="26" a="1"/>
  <c r="U28" i="26" s="1"/>
  <c r="U29" i="26" a="1"/>
  <c r="U29" i="26" s="1"/>
  <c r="U25" i="26" a="1"/>
  <c r="U25" i="26" s="1"/>
  <c r="U27" i="26" a="1"/>
  <c r="U27" i="26" s="1"/>
  <c r="S23" i="26" a="1"/>
  <c r="S23" i="26" s="1"/>
  <c r="S24" i="26" a="1"/>
  <c r="S24" i="26" s="1"/>
  <c r="S29" i="26" a="1"/>
  <c r="S29" i="26" s="1"/>
  <c r="S25" i="26" a="1"/>
  <c r="S25" i="26" s="1"/>
  <c r="C31" i="26"/>
  <c r="U30" i="26" a="1"/>
  <c r="U30" i="26"/>
  <c r="Z13" i="26"/>
  <c r="C70" i="26"/>
  <c r="C67" i="26"/>
  <c r="C50" i="26"/>
  <c r="C47" i="26"/>
  <c r="S30" i="26" a="1"/>
  <c r="S30" i="26" s="1"/>
  <c r="H13" i="9"/>
  <c r="J104" i="28"/>
  <c r="AH104" i="28" s="1"/>
  <c r="D79" i="5"/>
  <c r="C83" i="5"/>
  <c r="E65" i="5"/>
  <c r="E66" i="5"/>
  <c r="E67" i="5"/>
  <c r="E68" i="5"/>
  <c r="E69" i="5"/>
  <c r="E70" i="5"/>
  <c r="D66" i="5"/>
  <c r="D67" i="5"/>
  <c r="D68" i="5"/>
  <c r="D69" i="5"/>
  <c r="D70" i="5"/>
  <c r="E57" i="5"/>
  <c r="E58" i="5"/>
  <c r="D57" i="5"/>
  <c r="D58" i="5"/>
  <c r="D59" i="5"/>
  <c r="E59" i="5"/>
  <c r="D60" i="5"/>
  <c r="E60" i="5"/>
  <c r="D61" i="5"/>
  <c r="E61" i="5"/>
  <c r="D62" i="5"/>
  <c r="E62" i="5"/>
  <c r="D63" i="5"/>
  <c r="E63" i="5"/>
  <c r="D64" i="5"/>
  <c r="E64" i="5"/>
  <c r="D65" i="5"/>
  <c r="E56" i="5"/>
  <c r="D56" i="5"/>
  <c r="D6" i="7"/>
  <c r="E83" i="5"/>
  <c r="C19" i="5"/>
  <c r="B19" i="5"/>
  <c r="D9" i="5"/>
  <c r="E9" i="5"/>
  <c r="F9" i="5"/>
  <c r="G9" i="5"/>
  <c r="H9" i="5"/>
  <c r="D10" i="5"/>
  <c r="E10" i="5"/>
  <c r="F10" i="5"/>
  <c r="G10" i="5"/>
  <c r="H10" i="5"/>
  <c r="E8" i="5"/>
  <c r="F8" i="5"/>
  <c r="G8" i="5"/>
  <c r="H8" i="5"/>
  <c r="D8" i="5"/>
  <c r="H47" i="5"/>
  <c r="J48" i="5"/>
  <c r="J49" i="5"/>
  <c r="F48" i="5"/>
  <c r="H48" i="5"/>
  <c r="E49" i="5"/>
  <c r="G49" i="5"/>
  <c r="F47" i="5"/>
  <c r="J47" i="5"/>
  <c r="I47" i="5"/>
  <c r="E47" i="5"/>
  <c r="E48" i="5"/>
  <c r="G48" i="5"/>
  <c r="I48" i="5"/>
  <c r="F49" i="5"/>
  <c r="H49" i="5"/>
  <c r="I49" i="5"/>
  <c r="G47" i="5"/>
  <c r="D33" i="5"/>
  <c r="I33" i="5"/>
  <c r="F34" i="5"/>
  <c r="G37" i="5"/>
  <c r="G34" i="5"/>
  <c r="H37" i="5"/>
  <c r="E38" i="5"/>
  <c r="I35" i="5"/>
  <c r="E35" i="5"/>
  <c r="F38" i="5"/>
  <c r="J35" i="5"/>
  <c r="F35" i="5"/>
  <c r="G38" i="5"/>
  <c r="I36" i="5"/>
  <c r="G35" i="5"/>
  <c r="H38" i="5"/>
  <c r="J36" i="5"/>
  <c r="H35" i="5"/>
  <c r="D39" i="5"/>
  <c r="I37" i="5"/>
  <c r="D36" i="5"/>
  <c r="E39" i="5"/>
  <c r="J37" i="5"/>
  <c r="E36" i="5"/>
  <c r="F39" i="5"/>
  <c r="I38" i="5"/>
  <c r="G39" i="5"/>
  <c r="G36" i="5"/>
  <c r="H39" i="5"/>
  <c r="H36" i="5"/>
  <c r="F33" i="5"/>
  <c r="D37" i="5"/>
  <c r="D34" i="5"/>
  <c r="H33" i="5"/>
  <c r="F37" i="5"/>
  <c r="J33" i="5"/>
  <c r="F36" i="5"/>
  <c r="J38" i="5"/>
  <c r="I39" i="5"/>
  <c r="J39" i="5"/>
  <c r="G33" i="5"/>
  <c r="E37" i="5"/>
  <c r="E34" i="5"/>
  <c r="E33" i="5"/>
  <c r="I34" i="5"/>
  <c r="H34" i="5"/>
  <c r="D38" i="5"/>
  <c r="J34" i="5"/>
  <c r="D35" i="5"/>
  <c r="E24" i="5"/>
  <c r="F24" i="5"/>
  <c r="D24" i="5"/>
  <c r="H136" i="28"/>
  <c r="G26" i="6"/>
  <c r="D14" i="7"/>
  <c r="D11" i="7"/>
  <c r="D9" i="7"/>
  <c r="D7" i="7"/>
  <c r="D4" i="7"/>
  <c r="L26" i="6"/>
  <c r="H26" i="6"/>
  <c r="D26" i="6"/>
  <c r="C26" i="6"/>
  <c r="D17" i="6"/>
  <c r="D19" i="6"/>
  <c r="I11" i="6"/>
  <c r="I6" i="6"/>
  <c r="I5" i="6"/>
  <c r="I4" i="6"/>
  <c r="B46" i="4"/>
  <c r="C46" i="4"/>
  <c r="D46" i="4"/>
  <c r="C45" i="4"/>
  <c r="D45" i="4"/>
  <c r="X36" i="4"/>
  <c r="I36" i="4"/>
  <c r="H36" i="4"/>
  <c r="G36" i="4"/>
  <c r="F36" i="4"/>
  <c r="E36" i="4"/>
  <c r="D36" i="4"/>
  <c r="X35" i="4"/>
  <c r="I35" i="4"/>
  <c r="H35" i="4"/>
  <c r="G35" i="4"/>
  <c r="F35" i="4"/>
  <c r="E35" i="4"/>
  <c r="D35" i="4"/>
  <c r="X34" i="4"/>
  <c r="I34" i="4"/>
  <c r="H34" i="4"/>
  <c r="G34" i="4"/>
  <c r="F34" i="4"/>
  <c r="E34" i="4"/>
  <c r="D34" i="4"/>
  <c r="Y33" i="4"/>
  <c r="X33" i="4"/>
  <c r="I33" i="4"/>
  <c r="H33" i="4"/>
  <c r="G33" i="4"/>
  <c r="F33" i="4"/>
  <c r="E33" i="4"/>
  <c r="D33" i="4"/>
  <c r="Y32" i="4"/>
  <c r="X32" i="4"/>
  <c r="I32" i="4"/>
  <c r="H32" i="4"/>
  <c r="G32" i="4"/>
  <c r="F32" i="4"/>
  <c r="E32" i="4"/>
  <c r="D32" i="4"/>
  <c r="X31" i="4"/>
  <c r="I31" i="4"/>
  <c r="H31" i="4"/>
  <c r="G31" i="4"/>
  <c r="F31" i="4"/>
  <c r="E31" i="4"/>
  <c r="D31" i="4"/>
  <c r="X30" i="4"/>
  <c r="I30" i="4"/>
  <c r="H30" i="4"/>
  <c r="G30" i="4"/>
  <c r="F30" i="4"/>
  <c r="E30" i="4"/>
  <c r="D30" i="4"/>
  <c r="X29" i="4"/>
  <c r="I29" i="4"/>
  <c r="H29" i="4"/>
  <c r="G29" i="4"/>
  <c r="F29" i="4"/>
  <c r="E29" i="4"/>
  <c r="D29" i="4"/>
  <c r="X28" i="4"/>
  <c r="I28" i="4"/>
  <c r="H28" i="4"/>
  <c r="G28" i="4"/>
  <c r="F28" i="4"/>
  <c r="E28" i="4"/>
  <c r="D28" i="4"/>
  <c r="Y27" i="4"/>
  <c r="X27" i="4"/>
  <c r="I27" i="4"/>
  <c r="H27" i="4"/>
  <c r="G27" i="4"/>
  <c r="F27" i="4"/>
  <c r="E27" i="4"/>
  <c r="D27" i="4"/>
  <c r="Y26" i="4"/>
  <c r="X26" i="4"/>
  <c r="I26" i="4"/>
  <c r="H26" i="4"/>
  <c r="G26" i="4"/>
  <c r="F26" i="4"/>
  <c r="E26" i="4"/>
  <c r="D26" i="4"/>
  <c r="X25" i="4"/>
  <c r="I25" i="4"/>
  <c r="H25" i="4"/>
  <c r="G25" i="4"/>
  <c r="F25" i="4"/>
  <c r="E25" i="4"/>
  <c r="D25" i="4"/>
  <c r="X24" i="4"/>
  <c r="I24" i="4"/>
  <c r="H24" i="4"/>
  <c r="G24" i="4"/>
  <c r="F24" i="4"/>
  <c r="E24" i="4"/>
  <c r="D24" i="4"/>
  <c r="X23" i="4"/>
  <c r="I23" i="4"/>
  <c r="H23" i="4"/>
  <c r="G23" i="4"/>
  <c r="F23" i="4"/>
  <c r="E23" i="4"/>
  <c r="D23" i="4"/>
  <c r="Y22" i="4"/>
  <c r="X22" i="4"/>
  <c r="I22" i="4"/>
  <c r="H22" i="4"/>
  <c r="G22" i="4"/>
  <c r="F22" i="4"/>
  <c r="E22" i="4"/>
  <c r="D22" i="4"/>
  <c r="Y21" i="4"/>
  <c r="X21" i="4"/>
  <c r="I21" i="4"/>
  <c r="H21" i="4"/>
  <c r="G21" i="4"/>
  <c r="F21" i="4"/>
  <c r="E21" i="4"/>
  <c r="D21" i="4"/>
  <c r="X20" i="4"/>
  <c r="I20" i="4"/>
  <c r="H20" i="4"/>
  <c r="G20" i="4"/>
  <c r="F20" i="4"/>
  <c r="E20" i="4"/>
  <c r="D20" i="4"/>
  <c r="X19" i="4"/>
  <c r="I19" i="4"/>
  <c r="H19" i="4"/>
  <c r="G19" i="4"/>
  <c r="F19" i="4"/>
  <c r="E19" i="4"/>
  <c r="D19" i="4"/>
  <c r="X18" i="4"/>
  <c r="I18" i="4"/>
  <c r="H18" i="4"/>
  <c r="G18" i="4"/>
  <c r="F18" i="4"/>
  <c r="E18" i="4"/>
  <c r="D18" i="4"/>
  <c r="Y17" i="4"/>
  <c r="X17" i="4"/>
  <c r="I17" i="4"/>
  <c r="H17" i="4"/>
  <c r="G17" i="4"/>
  <c r="F17" i="4"/>
  <c r="E17" i="4"/>
  <c r="D17" i="4"/>
  <c r="Y16" i="4"/>
  <c r="X16" i="4"/>
  <c r="I16" i="4"/>
  <c r="H16" i="4"/>
  <c r="G16" i="4"/>
  <c r="F16" i="4"/>
  <c r="E16" i="4"/>
  <c r="D16" i="4"/>
  <c r="X15" i="4"/>
  <c r="I15" i="4"/>
  <c r="H15" i="4"/>
  <c r="G15" i="4"/>
  <c r="F15" i="4"/>
  <c r="E15" i="4"/>
  <c r="D15" i="4"/>
  <c r="X14" i="4"/>
  <c r="I14" i="4"/>
  <c r="H14" i="4"/>
  <c r="G14" i="4"/>
  <c r="F14" i="4"/>
  <c r="E14" i="4"/>
  <c r="D14" i="4"/>
  <c r="Y13" i="4"/>
  <c r="X13" i="4"/>
  <c r="I13" i="4"/>
  <c r="H13" i="4"/>
  <c r="G13" i="4"/>
  <c r="F13" i="4"/>
  <c r="E13" i="4"/>
  <c r="D13" i="4"/>
  <c r="Y12" i="4"/>
  <c r="X12" i="4"/>
  <c r="I12" i="4"/>
  <c r="H12" i="4"/>
  <c r="G12" i="4"/>
  <c r="F12" i="4"/>
  <c r="E12" i="4"/>
  <c r="D12" i="4"/>
  <c r="X11" i="4"/>
  <c r="I11" i="4"/>
  <c r="H11" i="4"/>
  <c r="G11" i="4"/>
  <c r="F11" i="4"/>
  <c r="E11" i="4"/>
  <c r="D11" i="4"/>
  <c r="X10" i="4"/>
  <c r="I10" i="4"/>
  <c r="H10" i="4"/>
  <c r="G10" i="4"/>
  <c r="F10" i="4"/>
  <c r="E10" i="4"/>
  <c r="D10" i="4"/>
  <c r="Y9" i="4"/>
  <c r="X9" i="4"/>
  <c r="I9" i="4"/>
  <c r="H9" i="4"/>
  <c r="G9" i="4"/>
  <c r="F9" i="4"/>
  <c r="E9" i="4"/>
  <c r="D9" i="4"/>
  <c r="Y8" i="4"/>
  <c r="X8" i="4"/>
  <c r="I8" i="4"/>
  <c r="H8" i="4"/>
  <c r="G8" i="4"/>
  <c r="F8" i="4"/>
  <c r="E8" i="4"/>
  <c r="D8" i="4"/>
  <c r="X7"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I7" i="4"/>
  <c r="H7" i="4"/>
  <c r="G7" i="4"/>
  <c r="F7" i="4"/>
  <c r="E7" i="4"/>
  <c r="D7" i="4"/>
  <c r="X6" i="4"/>
  <c r="I6" i="4"/>
  <c r="H6" i="4"/>
  <c r="G6" i="4"/>
  <c r="F6" i="4"/>
  <c r="E6" i="4"/>
  <c r="D6" i="4"/>
  <c r="Y5" i="4"/>
  <c r="Y31" i="4"/>
  <c r="O5" i="4"/>
  <c r="J136" i="28"/>
  <c r="AH136" i="28" s="1"/>
  <c r="M26" i="6"/>
  <c r="B26" i="6"/>
  <c r="O33" i="4"/>
  <c r="N28" i="4"/>
  <c r="N31" i="4"/>
  <c r="N6" i="4"/>
  <c r="O29" i="4"/>
  <c r="O35" i="4"/>
  <c r="N25" i="4"/>
  <c r="O15" i="4"/>
  <c r="Y23" i="4"/>
  <c r="N10" i="4"/>
  <c r="O24" i="4"/>
  <c r="N30" i="4"/>
  <c r="O30" i="4"/>
  <c r="Y18" i="4"/>
  <c r="O36" i="4"/>
  <c r="N8" i="4"/>
  <c r="N12" i="4"/>
  <c r="N16" i="4"/>
  <c r="N21" i="4"/>
  <c r="Y24" i="4"/>
  <c r="O26" i="4"/>
  <c r="O18" i="4"/>
  <c r="N19" i="4"/>
  <c r="O19" i="4"/>
  <c r="N15" i="4"/>
  <c r="Z5" i="4"/>
  <c r="Y34" i="4"/>
  <c r="O31" i="4"/>
  <c r="O8" i="4"/>
  <c r="O12" i="4"/>
  <c r="O16" i="4"/>
  <c r="Y19" i="4"/>
  <c r="O21" i="4"/>
  <c r="N32" i="4"/>
  <c r="Y35" i="4"/>
  <c r="N23" i="4"/>
  <c r="N18" i="4"/>
  <c r="N34" i="4"/>
  <c r="N29" i="4"/>
  <c r="O34" i="4"/>
  <c r="O10" i="4"/>
  <c r="O14" i="4"/>
  <c r="N11" i="4"/>
  <c r="Y28" i="4"/>
  <c r="N36" i="4"/>
  <c r="Y10" i="4"/>
  <c r="N27" i="4"/>
  <c r="Y30" i="4"/>
  <c r="O32" i="4"/>
  <c r="O23" i="4"/>
  <c r="N7" i="4"/>
  <c r="N20" i="4"/>
  <c r="Y7" i="4"/>
  <c r="Y11" i="4"/>
  <c r="Y15" i="4"/>
  <c r="N22" i="4"/>
  <c r="Y25" i="4"/>
  <c r="O27" i="4"/>
  <c r="O28" i="4"/>
  <c r="P5" i="4"/>
  <c r="N14" i="4"/>
  <c r="N24" i="4"/>
  <c r="O7" i="4"/>
  <c r="O11" i="4"/>
  <c r="B47" i="4"/>
  <c r="Y6" i="4"/>
  <c r="N26" i="4"/>
  <c r="N9" i="4"/>
  <c r="N13" i="4"/>
  <c r="N17" i="4"/>
  <c r="Y20" i="4"/>
  <c r="O22" i="4"/>
  <c r="N33" i="4"/>
  <c r="Y36" i="4"/>
  <c r="O6" i="4"/>
  <c r="N35" i="4"/>
  <c r="O25" i="4"/>
  <c r="O20" i="4"/>
  <c r="Y14" i="4"/>
  <c r="Y29" i="4"/>
  <c r="O9" i="4"/>
  <c r="O13" i="4"/>
  <c r="O17" i="4"/>
  <c r="F26" i="6"/>
  <c r="P22" i="4"/>
  <c r="P20" i="4"/>
  <c r="P10" i="4"/>
  <c r="P6" i="4"/>
  <c r="P23" i="4"/>
  <c r="P27" i="4"/>
  <c r="P36" i="4"/>
  <c r="P24" i="4"/>
  <c r="P29" i="4"/>
  <c r="P13" i="4"/>
  <c r="P9" i="4"/>
  <c r="P32" i="4"/>
  <c r="P25" i="4"/>
  <c r="Q5" i="4"/>
  <c r="P21" i="4"/>
  <c r="P16" i="4"/>
  <c r="P12" i="4"/>
  <c r="P8" i="4"/>
  <c r="P33" i="4"/>
  <c r="P26" i="4"/>
  <c r="P11" i="4"/>
  <c r="P7" i="4"/>
  <c r="P17" i="4"/>
  <c r="P31" i="4"/>
  <c r="P19" i="4"/>
  <c r="P34" i="4"/>
  <c r="P18" i="4"/>
  <c r="P15" i="4"/>
  <c r="P30" i="4"/>
  <c r="P35" i="4"/>
  <c r="P14" i="4"/>
  <c r="P28" i="4"/>
  <c r="Z36" i="4"/>
  <c r="Z20" i="4"/>
  <c r="Z34" i="4"/>
  <c r="Z27" i="4"/>
  <c r="Z32" i="4"/>
  <c r="Z26" i="4"/>
  <c r="Z25" i="4"/>
  <c r="Z15" i="4"/>
  <c r="Z11" i="4"/>
  <c r="Z7" i="4"/>
  <c r="AA5" i="4"/>
  <c r="Z8" i="4"/>
  <c r="Z30" i="4"/>
  <c r="Z33" i="4"/>
  <c r="Z17" i="4"/>
  <c r="Z21" i="4"/>
  <c r="Z16" i="4"/>
  <c r="Z31" i="4"/>
  <c r="Z35" i="4"/>
  <c r="Z19" i="4"/>
  <c r="Z28" i="4"/>
  <c r="Z12" i="4"/>
  <c r="Z24" i="4"/>
  <c r="Z22" i="4"/>
  <c r="Z29" i="4"/>
  <c r="Z14" i="4"/>
  <c r="Z10" i="4"/>
  <c r="Z6" i="4"/>
  <c r="Z13" i="4"/>
  <c r="Z9" i="4"/>
  <c r="Z18" i="4"/>
  <c r="Z23" i="4"/>
  <c r="C47" i="4"/>
  <c r="D47" i="4"/>
  <c r="B48" i="4"/>
  <c r="Q27" i="4"/>
  <c r="Q25" i="4"/>
  <c r="Q7" i="4"/>
  <c r="Q23" i="4"/>
  <c r="Q32" i="4"/>
  <c r="Q22" i="4"/>
  <c r="Q21" i="4"/>
  <c r="Q16" i="4"/>
  <c r="Q12" i="4"/>
  <c r="Q8" i="4"/>
  <c r="Q15" i="4"/>
  <c r="Q30" i="4"/>
  <c r="Q14" i="4"/>
  <c r="Q10" i="4"/>
  <c r="Q33" i="4"/>
  <c r="Q17" i="4"/>
  <c r="Q26" i="4"/>
  <c r="Q18" i="4"/>
  <c r="R5" i="4"/>
  <c r="Q31" i="4"/>
  <c r="Q29" i="4"/>
  <c r="Q6" i="4"/>
  <c r="Q28" i="4"/>
  <c r="Q36" i="4"/>
  <c r="Q20" i="4"/>
  <c r="Q24" i="4"/>
  <c r="Q9" i="4"/>
  <c r="Q11" i="4"/>
  <c r="Q35" i="4"/>
  <c r="Q19" i="4"/>
  <c r="Q34" i="4"/>
  <c r="Q13" i="4"/>
  <c r="AA25" i="4"/>
  <c r="AA15" i="4"/>
  <c r="AA11" i="4"/>
  <c r="AA7" i="4"/>
  <c r="AA27" i="4"/>
  <c r="AA32" i="4"/>
  <c r="AA26" i="4"/>
  <c r="AA30" i="4"/>
  <c r="AA28" i="4"/>
  <c r="AA17" i="4"/>
  <c r="AA12" i="4"/>
  <c r="AA31" i="4"/>
  <c r="AA36" i="4"/>
  <c r="AA35" i="4"/>
  <c r="AA19" i="4"/>
  <c r="AA22" i="4"/>
  <c r="AA16" i="4"/>
  <c r="AA20" i="4"/>
  <c r="AA24" i="4"/>
  <c r="AB5" i="4"/>
  <c r="AA29" i="4"/>
  <c r="AA14" i="4"/>
  <c r="AA10" i="4"/>
  <c r="AA6" i="4"/>
  <c r="AA9" i="4"/>
  <c r="AA21" i="4"/>
  <c r="AA34" i="4"/>
  <c r="AA18" i="4"/>
  <c r="AA8" i="4"/>
  <c r="AA23" i="4"/>
  <c r="AA33" i="4"/>
  <c r="AA13" i="4"/>
  <c r="B49" i="4"/>
  <c r="C48" i="4"/>
  <c r="D48" i="4"/>
  <c r="BW136" i="28"/>
  <c r="AB30" i="4"/>
  <c r="AB9" i="4"/>
  <c r="AB32" i="4"/>
  <c r="AB16" i="4"/>
  <c r="AB7" i="4"/>
  <c r="AB35" i="4"/>
  <c r="AB19" i="4"/>
  <c r="AB33" i="4"/>
  <c r="AB13" i="4"/>
  <c r="AB22" i="4"/>
  <c r="AB21" i="4"/>
  <c r="AB15" i="4"/>
  <c r="AB24" i="4"/>
  <c r="AB27" i="4"/>
  <c r="AB36" i="4"/>
  <c r="AB25" i="4"/>
  <c r="AB29" i="4"/>
  <c r="AB14" i="4"/>
  <c r="AB10" i="4"/>
  <c r="AB6" i="4"/>
  <c r="AB28" i="4"/>
  <c r="AB17" i="4"/>
  <c r="AB8" i="4"/>
  <c r="AB34" i="4"/>
  <c r="AB18" i="4"/>
  <c r="AB12" i="4"/>
  <c r="AB11" i="4"/>
  <c r="AB23" i="4"/>
  <c r="AC5" i="4"/>
  <c r="AB26" i="4"/>
  <c r="AB31" i="4"/>
  <c r="AB20" i="4"/>
  <c r="R32" i="4"/>
  <c r="R14" i="4"/>
  <c r="R10" i="4"/>
  <c r="R23" i="4"/>
  <c r="R28" i="4"/>
  <c r="R22" i="4"/>
  <c r="R21" i="4"/>
  <c r="R16" i="4"/>
  <c r="R12" i="4"/>
  <c r="R8" i="4"/>
  <c r="R6" i="4"/>
  <c r="R26" i="4"/>
  <c r="R30" i="4"/>
  <c r="R19" i="4"/>
  <c r="S5" i="4"/>
  <c r="R31" i="4"/>
  <c r="R17" i="4"/>
  <c r="R36" i="4"/>
  <c r="R20" i="4"/>
  <c r="R34" i="4"/>
  <c r="R33" i="4"/>
  <c r="R27" i="4"/>
  <c r="R25" i="4"/>
  <c r="R15" i="4"/>
  <c r="R11" i="4"/>
  <c r="R7" i="4"/>
  <c r="R24" i="4"/>
  <c r="R13" i="4"/>
  <c r="R35" i="4"/>
  <c r="R29" i="4"/>
  <c r="R18" i="4"/>
  <c r="R9" i="4"/>
  <c r="C49" i="4"/>
  <c r="D49" i="4"/>
  <c r="B50" i="4"/>
  <c r="AC35" i="4"/>
  <c r="AC19" i="4"/>
  <c r="AC32" i="4"/>
  <c r="AC30" i="4"/>
  <c r="AC24" i="4"/>
  <c r="AC13" i="4"/>
  <c r="AC16" i="4"/>
  <c r="AC20" i="4"/>
  <c r="AC15" i="4"/>
  <c r="AC7" i="4"/>
  <c r="AC29" i="4"/>
  <c r="AC14" i="4"/>
  <c r="AC10" i="4"/>
  <c r="AC6" i="4"/>
  <c r="AC36" i="4"/>
  <c r="AC11" i="4"/>
  <c r="AC34" i="4"/>
  <c r="AC18" i="4"/>
  <c r="AC12" i="4"/>
  <c r="AC31" i="4"/>
  <c r="AC23" i="4"/>
  <c r="AC33" i="4"/>
  <c r="AC17" i="4"/>
  <c r="AC9" i="4"/>
  <c r="AC22" i="4"/>
  <c r="AC27" i="4"/>
  <c r="AC28" i="4"/>
  <c r="AC21" i="4"/>
  <c r="AC8" i="4"/>
  <c r="AC25" i="4"/>
  <c r="AC26" i="4"/>
  <c r="S21" i="4"/>
  <c r="S16" i="4"/>
  <c r="S12" i="4"/>
  <c r="S8" i="4"/>
  <c r="S6" i="4"/>
  <c r="S17" i="4"/>
  <c r="S26" i="4"/>
  <c r="S29" i="4"/>
  <c r="S18" i="4"/>
  <c r="S33" i="4"/>
  <c r="S9" i="4"/>
  <c r="S32" i="4"/>
  <c r="S31" i="4"/>
  <c r="S35" i="4"/>
  <c r="S19" i="4"/>
  <c r="S27" i="4"/>
  <c r="S36" i="4"/>
  <c r="S20" i="4"/>
  <c r="S14" i="4"/>
  <c r="S23" i="4"/>
  <c r="S28" i="4"/>
  <c r="S22" i="4"/>
  <c r="S25" i="4"/>
  <c r="S15" i="4"/>
  <c r="S11" i="4"/>
  <c r="S7" i="4"/>
  <c r="S30" i="4"/>
  <c r="S24" i="4"/>
  <c r="S10" i="4"/>
  <c r="S13" i="4"/>
  <c r="S34" i="4"/>
  <c r="B51" i="4"/>
  <c r="C50" i="4"/>
  <c r="D50" i="4"/>
  <c r="C51" i="4"/>
  <c r="D51" i="4"/>
  <c r="B52" i="4"/>
  <c r="C52" i="4"/>
  <c r="D52" i="4"/>
  <c r="B53" i="4"/>
  <c r="B54" i="4"/>
  <c r="C53" i="4"/>
  <c r="D53" i="4"/>
  <c r="B55" i="4"/>
  <c r="C54" i="4"/>
  <c r="D54" i="4"/>
  <c r="B56" i="4"/>
  <c r="C55" i="4"/>
  <c r="D55" i="4"/>
  <c r="C56" i="4"/>
  <c r="D56" i="4"/>
  <c r="B57" i="4"/>
  <c r="B58" i="4"/>
  <c r="C57" i="4"/>
  <c r="D57" i="4"/>
  <c r="B59" i="4"/>
  <c r="C58" i="4"/>
  <c r="D58" i="4"/>
  <c r="B60" i="4"/>
  <c r="C59" i="4"/>
  <c r="D59" i="4"/>
  <c r="B61" i="4"/>
  <c r="C60" i="4"/>
  <c r="D60" i="4"/>
  <c r="C61" i="4"/>
  <c r="D61" i="4"/>
  <c r="B62" i="4"/>
  <c r="C62" i="4"/>
  <c r="D62" i="4"/>
  <c r="B63" i="4"/>
  <c r="B64" i="4"/>
  <c r="C63" i="4"/>
  <c r="D63" i="4"/>
  <c r="B65" i="4"/>
  <c r="C64" i="4"/>
  <c r="D64" i="4"/>
  <c r="C65" i="4"/>
  <c r="D65" i="4"/>
  <c r="B66" i="4"/>
  <c r="C66" i="4"/>
  <c r="D66" i="4"/>
  <c r="B67" i="4"/>
  <c r="B68" i="4"/>
  <c r="C67" i="4"/>
  <c r="D67" i="4"/>
  <c r="C68" i="4"/>
  <c r="D68" i="4"/>
  <c r="B69" i="4"/>
  <c r="B70" i="4"/>
  <c r="C70" i="4"/>
  <c r="D70" i="4"/>
  <c r="C69" i="4"/>
  <c r="D69" i="4"/>
  <c r="D42" i="26" l="1" a="1"/>
  <c r="D42" i="26" s="1"/>
  <c r="D62" i="26" s="1"/>
  <c r="S41" i="26" a="1"/>
  <c r="S41" i="26" s="1"/>
  <c r="U22" i="26" a="1"/>
  <c r="U22" i="26" s="1"/>
  <c r="G362" i="26" s="1" a="1"/>
  <c r="G362" i="26" s="1"/>
  <c r="H406" i="26" a="1"/>
  <c r="H406" i="26" s="1"/>
  <c r="H395" i="26" a="1"/>
  <c r="H395" i="26" s="1"/>
  <c r="K379" i="26" a="1"/>
  <c r="K379" i="26" s="1"/>
  <c r="L363" i="26" a="1"/>
  <c r="L363" i="26" s="1"/>
  <c r="L347" i="26" a="1"/>
  <c r="L347" i="26" s="1"/>
  <c r="I331" i="26" a="1"/>
  <c r="I331" i="26" s="1"/>
  <c r="U331" i="26" s="1"/>
  <c r="J315" i="26" a="1"/>
  <c r="J315" i="26" s="1"/>
  <c r="V315" i="26" s="1"/>
  <c r="K394" i="26" a="1"/>
  <c r="K394" i="26" s="1"/>
  <c r="J378" i="26" a="1"/>
  <c r="J378" i="26" s="1"/>
  <c r="I362" i="26" a="1"/>
  <c r="I362" i="26" s="1"/>
  <c r="H346" i="26" a="1"/>
  <c r="H346" i="26" s="1"/>
  <c r="R220" i="26" a="1"/>
  <c r="R220" i="26" s="1"/>
  <c r="R260" i="26" a="1"/>
  <c r="R260" i="26" s="1"/>
  <c r="AC10" i="26"/>
  <c r="J12" i="9" s="1"/>
  <c r="AC9" i="26"/>
  <c r="J11" i="9" s="1"/>
  <c r="AC11" i="26"/>
  <c r="AB11" i="26"/>
  <c r="E12" i="39" s="1"/>
  <c r="AB10" i="26"/>
  <c r="I12" i="9" s="1"/>
  <c r="AB9" i="26"/>
  <c r="I11" i="9" s="1"/>
  <c r="H23" i="9" s="1" a="1"/>
  <c r="H23" i="9" s="1"/>
  <c r="AB12" i="26"/>
  <c r="E13" i="39" s="1"/>
  <c r="AC8" i="26"/>
  <c r="J10" i="9" s="1"/>
  <c r="J23" i="9" s="1" a="1"/>
  <c r="J23" i="9" s="1"/>
  <c r="AB4" i="26"/>
  <c r="I6" i="9" s="1"/>
  <c r="AC13" i="26"/>
  <c r="F14" i="39" s="1"/>
  <c r="AC12" i="39" s="1" a="1"/>
  <c r="AC12" i="39" s="1"/>
  <c r="AB13" i="26"/>
  <c r="AB5" i="26"/>
  <c r="AB7" i="26"/>
  <c r="E8" i="39" s="1"/>
  <c r="AC6" i="26"/>
  <c r="F7" i="39" s="1"/>
  <c r="AC6" i="39" s="1" a="1"/>
  <c r="AC6" i="39" s="1"/>
  <c r="AC4" i="26"/>
  <c r="F5" i="39" s="1"/>
  <c r="AB6" i="26"/>
  <c r="AC5" i="26"/>
  <c r="J7" i="9" s="1"/>
  <c r="S27" i="26" a="1"/>
  <c r="S27" i="26" s="1"/>
  <c r="S26" i="26" a="1"/>
  <c r="S26" i="26" s="1"/>
  <c r="U26" i="26" a="1"/>
  <c r="U26" i="26" s="1"/>
  <c r="G400" i="26" s="1" a="1"/>
  <c r="G400" i="26" s="1"/>
  <c r="S64" i="26" a="1"/>
  <c r="S64" i="26" s="1"/>
  <c r="U64" i="26" a="1"/>
  <c r="U64" i="26" s="1"/>
  <c r="S139" i="28" a="1"/>
  <c r="S139" i="28" s="1"/>
  <c r="H391" i="26" a="1"/>
  <c r="H391" i="26" s="1"/>
  <c r="H7" i="9"/>
  <c r="AF51" i="9" s="1"/>
  <c r="H372" i="26" a="1"/>
  <c r="H372" i="26" s="1"/>
  <c r="H403" i="26" a="1"/>
  <c r="H403" i="26" s="1"/>
  <c r="K323" i="26" a="1"/>
  <c r="K323" i="26" s="1"/>
  <c r="W323" i="26" s="1"/>
  <c r="S62" i="26" a="1"/>
  <c r="S62" i="26" s="1"/>
  <c r="U61" i="26" a="1"/>
  <c r="U61" i="26" s="1"/>
  <c r="U62" i="26" a="1"/>
  <c r="U62" i="26" s="1"/>
  <c r="L354" i="26" a="1"/>
  <c r="L354" i="26" s="1"/>
  <c r="K401" i="26" a="1"/>
  <c r="K401" i="26" s="1"/>
  <c r="I369" i="26" a="1"/>
  <c r="I369" i="26" s="1"/>
  <c r="H368" i="26" a="1"/>
  <c r="H368" i="26" s="1"/>
  <c r="C6" i="39"/>
  <c r="I367" i="26" a="1"/>
  <c r="I367" i="26" s="1"/>
  <c r="J335" i="26" a="1"/>
  <c r="J335" i="26" s="1"/>
  <c r="I303" i="26" a="1"/>
  <c r="I303" i="26" s="1"/>
  <c r="U303" i="26" s="1"/>
  <c r="K382" i="26" a="1"/>
  <c r="K382" i="26" s="1"/>
  <c r="J350" i="26" a="1"/>
  <c r="J350" i="26" s="1"/>
  <c r="J334" i="26" a="1"/>
  <c r="J334" i="26" s="1"/>
  <c r="J302" i="26" a="1"/>
  <c r="J302" i="26" s="1"/>
  <c r="V302" i="26" s="1"/>
  <c r="I337" i="26" a="1"/>
  <c r="I337" i="26" s="1"/>
  <c r="K384" i="26" a="1"/>
  <c r="K384" i="26" s="1"/>
  <c r="I336" i="26" a="1"/>
  <c r="I336" i="26" s="1"/>
  <c r="L208" i="26" a="1"/>
  <c r="L208" i="26" s="1"/>
  <c r="X208" i="26" s="1"/>
  <c r="K381" i="26" a="1"/>
  <c r="K381" i="26" s="1"/>
  <c r="J365" i="26" a="1"/>
  <c r="J365" i="26" s="1"/>
  <c r="J349" i="26" a="1"/>
  <c r="J349" i="26" s="1"/>
  <c r="I333" i="26" a="1"/>
  <c r="I333" i="26" s="1"/>
  <c r="AI209" i="26" a="1"/>
  <c r="AI209" i="26" s="1"/>
  <c r="AJ212" i="26" a="1"/>
  <c r="AJ212" i="26" s="1"/>
  <c r="AJ215" i="26" a="1"/>
  <c r="AJ215" i="26" s="1"/>
  <c r="AF219" i="26" a="1"/>
  <c r="AF219" i="26" s="1"/>
  <c r="AI221" i="26" a="1"/>
  <c r="AI221" i="26" s="1"/>
  <c r="AJ296" i="26" a="1"/>
  <c r="AJ296" i="26" s="1"/>
  <c r="AJ299" i="26" a="1"/>
  <c r="AJ299" i="26" s="1"/>
  <c r="AI305" i="26" a="1"/>
  <c r="AI305" i="26" s="1"/>
  <c r="AI308" i="26" a="1"/>
  <c r="AI308" i="26" s="1"/>
  <c r="AG314" i="26" a="1"/>
  <c r="AG314" i="26" s="1"/>
  <c r="AG319" i="26" a="1"/>
  <c r="AG319" i="26" s="1"/>
  <c r="AJ321" i="26" a="1"/>
  <c r="AJ321" i="26" s="1"/>
  <c r="AH324" i="26" a="1"/>
  <c r="AH324" i="26" s="1"/>
  <c r="AF327" i="26" a="1"/>
  <c r="AF327" i="26" s="1"/>
  <c r="AI329" i="26" a="1"/>
  <c r="AI329" i="26" s="1"/>
  <c r="AF332" i="26" a="1"/>
  <c r="AF332" i="26" s="1"/>
  <c r="AI219" i="26" a="1"/>
  <c r="AI219" i="26" s="1"/>
  <c r="AI300" i="26" a="1"/>
  <c r="AI300" i="26" s="1"/>
  <c r="AJ311" i="26" a="1"/>
  <c r="AJ311" i="26" s="1"/>
  <c r="AF325" i="26" a="1"/>
  <c r="AF325" i="26" s="1"/>
  <c r="AJ216" i="26" a="1"/>
  <c r="AJ216" i="26" s="1"/>
  <c r="AJ300" i="26" a="1"/>
  <c r="AJ300" i="26" s="1"/>
  <c r="AF312" i="26" a="1"/>
  <c r="AF312" i="26" s="1"/>
  <c r="AI322" i="26" a="1"/>
  <c r="AI322" i="26" s="1"/>
  <c r="AF217" i="26" a="1"/>
  <c r="AF217" i="26" s="1"/>
  <c r="AF298" i="26" a="1"/>
  <c r="AF298" i="26" s="1"/>
  <c r="AG315" i="26" a="1"/>
  <c r="AG315" i="26" s="1"/>
  <c r="AH325" i="26" a="1"/>
  <c r="AH325" i="26" s="1"/>
  <c r="AF333" i="26" a="1"/>
  <c r="AF333" i="26" s="1"/>
  <c r="AG220" i="26" a="1"/>
  <c r="AG220" i="26" s="1"/>
  <c r="AJ306" i="26" a="1"/>
  <c r="AJ306" i="26" s="1"/>
  <c r="AH320" i="26" a="1"/>
  <c r="AH320" i="26" s="1"/>
  <c r="AG333" i="26" a="1"/>
  <c r="AG333" i="26" s="1"/>
  <c r="AG223" i="26" a="1"/>
  <c r="AG223" i="26" s="1"/>
  <c r="AF307" i="26" a="1"/>
  <c r="AF307" i="26" s="1"/>
  <c r="AF318" i="26" a="1"/>
  <c r="AF318" i="26" s="1"/>
  <c r="AH328" i="26" a="1"/>
  <c r="AH328" i="26" s="1"/>
  <c r="AI217" i="26" a="1"/>
  <c r="AI217" i="26" s="1"/>
  <c r="AH301" i="26" a="1"/>
  <c r="AH301" i="26" s="1"/>
  <c r="AJ312" i="26" a="1"/>
  <c r="AJ312" i="26" s="1"/>
  <c r="AG323" i="26" a="1"/>
  <c r="AG323" i="26" s="1"/>
  <c r="AI211" i="26" a="1"/>
  <c r="AI211" i="26" s="1"/>
  <c r="AJ298" i="26" a="1"/>
  <c r="AJ298" i="26" s="1"/>
  <c r="AF313" i="26" a="1"/>
  <c r="AF313" i="26" s="1"/>
  <c r="AJ328" i="26" a="1"/>
  <c r="AJ328" i="26" s="1"/>
  <c r="AF215" i="26" a="1"/>
  <c r="AF215" i="26" s="1"/>
  <c r="AF299" i="26" a="1"/>
  <c r="AF299" i="26" s="1"/>
  <c r="AH310" i="26" a="1"/>
  <c r="AH310" i="26" s="1"/>
  <c r="AF321" i="26" a="1"/>
  <c r="AF321" i="26" s="1"/>
  <c r="AF212" i="26" a="1"/>
  <c r="AF212" i="26" s="1"/>
  <c r="AF296" i="26" a="1"/>
  <c r="AF296" i="26" s="1"/>
  <c r="AI310" i="26" a="1"/>
  <c r="AI310" i="26" s="1"/>
  <c r="AG321" i="26" a="1"/>
  <c r="AG321" i="26" s="1"/>
  <c r="AI331" i="26" a="1"/>
  <c r="AI331" i="26" s="1"/>
  <c r="AG221" i="26" a="1"/>
  <c r="AG221" i="26" s="1"/>
  <c r="AF305" i="26" a="1"/>
  <c r="AF305" i="26" s="1"/>
  <c r="AH316" i="26" a="1"/>
  <c r="AH316" i="26" s="1"/>
  <c r="AH212" i="26" a="1"/>
  <c r="AH212" i="26" s="1"/>
  <c r="AH299" i="26" a="1"/>
  <c r="AH299" i="26" s="1"/>
  <c r="AF311" i="26" a="1"/>
  <c r="AF311" i="26" s="1"/>
  <c r="AI321" i="26" a="1"/>
  <c r="AI321" i="26" s="1"/>
  <c r="AJ331" i="26" a="1"/>
  <c r="AJ331" i="26" s="1"/>
  <c r="AJ218" i="26" a="1"/>
  <c r="AJ218" i="26" s="1"/>
  <c r="AH302" i="26" a="1"/>
  <c r="AH302" i="26" s="1"/>
  <c r="AF314" i="26" a="1"/>
  <c r="AF314" i="26" s="1"/>
  <c r="AJ209" i="26" a="1"/>
  <c r="AJ209" i="26" s="1"/>
  <c r="AF213" i="26" a="1"/>
  <c r="AF213" i="26" s="1"/>
  <c r="AF216" i="26" a="1"/>
  <c r="AF216" i="26" s="1"/>
  <c r="AG219" i="26" a="1"/>
  <c r="AG219" i="26" s="1"/>
  <c r="AJ221" i="26" a="1"/>
  <c r="AJ221" i="26" s="1"/>
  <c r="AF297" i="26" a="1"/>
  <c r="AF297" i="26" s="1"/>
  <c r="AF300" i="26" a="1"/>
  <c r="AF300" i="26" s="1"/>
  <c r="AI302" i="26" a="1"/>
  <c r="AI302" i="26" s="1"/>
  <c r="AJ305" i="26" a="1"/>
  <c r="AJ305" i="26" s="1"/>
  <c r="AJ308" i="26" a="1"/>
  <c r="AJ308" i="26" s="1"/>
  <c r="AH311" i="26" a="1"/>
  <c r="AH311" i="26" s="1"/>
  <c r="AH314" i="26" a="1"/>
  <c r="AH314" i="26" s="1"/>
  <c r="AH319" i="26" a="1"/>
  <c r="AH319" i="26" s="1"/>
  <c r="AI324" i="26" a="1"/>
  <c r="AI324" i="26" s="1"/>
  <c r="AG327" i="26" a="1"/>
  <c r="AG327" i="26" s="1"/>
  <c r="AJ329" i="26" a="1"/>
  <c r="AJ329" i="26" s="1"/>
  <c r="AG332" i="26" a="1"/>
  <c r="AG332" i="26" s="1"/>
  <c r="AH210" i="26" a="1"/>
  <c r="AH210" i="26" s="1"/>
  <c r="AH222" i="26" a="1"/>
  <c r="AH222" i="26" s="1"/>
  <c r="AH309" i="26" a="1"/>
  <c r="AH309" i="26" s="1"/>
  <c r="AH322" i="26" a="1"/>
  <c r="AH322" i="26" s="1"/>
  <c r="AJ332" i="26" a="1"/>
  <c r="AJ332" i="26" s="1"/>
  <c r="AJ219" i="26" a="1"/>
  <c r="AJ219" i="26" s="1"/>
  <c r="AH303" i="26" a="1"/>
  <c r="AH303" i="26" s="1"/>
  <c r="AF315" i="26" a="1"/>
  <c r="AF315" i="26" s="1"/>
  <c r="AG325" i="26" a="1"/>
  <c r="AG325" i="26" s="1"/>
  <c r="AF220" i="26" a="1"/>
  <c r="AF220" i="26" s="1"/>
  <c r="AI303" i="26" a="1"/>
  <c r="AI303" i="26" s="1"/>
  <c r="AG320" i="26" a="1"/>
  <c r="AG320" i="26" s="1"/>
  <c r="AI330" i="26" a="1"/>
  <c r="AI330" i="26" s="1"/>
  <c r="AG214" i="26" a="1"/>
  <c r="AG214" i="26" s="1"/>
  <c r="AG298" i="26" a="1"/>
  <c r="AG298" i="26" s="1"/>
  <c r="AH312" i="26" a="1"/>
  <c r="AH312" i="26" s="1"/>
  <c r="AG328" i="26" a="1"/>
  <c r="AG328" i="26" s="1"/>
  <c r="AH217" i="26" a="1"/>
  <c r="AH217" i="26" s="1"/>
  <c r="AG301" i="26" a="1"/>
  <c r="AG301" i="26" s="1"/>
  <c r="AI312" i="26" a="1"/>
  <c r="AI312" i="26" s="1"/>
  <c r="AF323" i="26" a="1"/>
  <c r="AF323" i="26" s="1"/>
  <c r="AH211" i="26" a="1"/>
  <c r="AH211" i="26" s="1"/>
  <c r="AI298" i="26" a="1"/>
  <c r="AI298" i="26" s="1"/>
  <c r="AG307" i="26" a="1"/>
  <c r="AG307" i="26" s="1"/>
  <c r="AG318" i="26" a="1"/>
  <c r="AG318" i="26" s="1"/>
  <c r="AF331" i="26" a="1"/>
  <c r="AF331" i="26" s="1"/>
  <c r="AJ217" i="26" a="1"/>
  <c r="AJ217" i="26" s="1"/>
  <c r="AH307" i="26" a="1"/>
  <c r="AH307" i="26" s="1"/>
  <c r="AH323" i="26" a="1"/>
  <c r="AH323" i="26" s="1"/>
  <c r="AJ333" i="26" a="1"/>
  <c r="AJ333" i="26" s="1"/>
  <c r="AJ220" i="26" a="1"/>
  <c r="AJ220" i="26" s="1"/>
  <c r="AI304" i="26" a="1"/>
  <c r="AI304" i="26" s="1"/>
  <c r="AF316" i="26" a="1"/>
  <c r="AF316" i="26" s="1"/>
  <c r="AG326" i="26" a="1"/>
  <c r="AG326" i="26" s="1"/>
  <c r="AF221" i="26" a="1"/>
  <c r="AF221" i="26" s="1"/>
  <c r="AJ307" i="26" a="1"/>
  <c r="AJ307" i="26" s="1"/>
  <c r="AJ318" i="26" a="1"/>
  <c r="AJ318" i="26" s="1"/>
  <c r="AF329" i="26" a="1"/>
  <c r="AF329" i="26" s="1"/>
  <c r="AG212" i="26" a="1"/>
  <c r="AG212" i="26" s="1"/>
  <c r="AG299" i="26" a="1"/>
  <c r="AG299" i="26" s="1"/>
  <c r="AJ310" i="26" a="1"/>
  <c r="AJ310" i="26" s="1"/>
  <c r="AI326" i="26" a="1"/>
  <c r="AI326" i="26" s="1"/>
  <c r="AI218" i="26" a="1"/>
  <c r="AI218" i="26" s="1"/>
  <c r="AG305" i="26" a="1"/>
  <c r="AG305" i="26" s="1"/>
  <c r="AI316" i="26" a="1"/>
  <c r="AI316" i="26" s="1"/>
  <c r="AJ326" i="26" a="1"/>
  <c r="AJ326" i="26" s="1"/>
  <c r="AI212" i="26" a="1"/>
  <c r="AI212" i="26" s="1"/>
  <c r="AI296" i="26" a="1"/>
  <c r="AI296" i="26" s="1"/>
  <c r="AH308" i="26" a="1"/>
  <c r="AH308" i="26" s="1"/>
  <c r="AG324" i="26" a="1"/>
  <c r="AG324" i="26" s="1"/>
  <c r="AF210" i="26" a="1"/>
  <c r="AF210" i="26" s="1"/>
  <c r="AG213" i="26" a="1"/>
  <c r="AG213" i="26" s="1"/>
  <c r="AG216" i="26" a="1"/>
  <c r="AG216" i="26" s="1"/>
  <c r="AH219" i="26" a="1"/>
  <c r="AH219" i="26" s="1"/>
  <c r="AF222" i="26" a="1"/>
  <c r="AF222" i="26" s="1"/>
  <c r="AG297" i="26" a="1"/>
  <c r="AG297" i="26" s="1"/>
  <c r="AG300" i="26" a="1"/>
  <c r="AG300" i="26" s="1"/>
  <c r="AJ302" i="26" a="1"/>
  <c r="AJ302" i="26" s="1"/>
  <c r="AF306" i="26" a="1"/>
  <c r="AF306" i="26" s="1"/>
  <c r="AF309" i="26" a="1"/>
  <c r="AF309" i="26" s="1"/>
  <c r="AI311" i="26" a="1"/>
  <c r="AI311" i="26" s="1"/>
  <c r="AI314" i="26" a="1"/>
  <c r="AI314" i="26" s="1"/>
  <c r="AF317" i="26" a="1"/>
  <c r="AF317" i="26" s="1"/>
  <c r="AI319" i="26" a="1"/>
  <c r="AI319" i="26" s="1"/>
  <c r="AF322" i="26" a="1"/>
  <c r="AF322" i="26" s="1"/>
  <c r="AJ324" i="26" a="1"/>
  <c r="AJ324" i="26" s="1"/>
  <c r="AH327" i="26" a="1"/>
  <c r="AH327" i="26" s="1"/>
  <c r="AH332" i="26" a="1"/>
  <c r="AH332" i="26" s="1"/>
  <c r="AI213" i="26" a="1"/>
  <c r="AI213" i="26" s="1"/>
  <c r="AG303" i="26" a="1"/>
  <c r="AG303" i="26" s="1"/>
  <c r="AH317" i="26" a="1"/>
  <c r="AH317" i="26" s="1"/>
  <c r="AJ327" i="26" a="1"/>
  <c r="AJ327" i="26" s="1"/>
  <c r="AI210" i="26" a="1"/>
  <c r="AI210" i="26" s="1"/>
  <c r="AI222" i="26" a="1"/>
  <c r="AI222" i="26" s="1"/>
  <c r="AI306" i="26" a="1"/>
  <c r="AI306" i="26" s="1"/>
  <c r="AI317" i="26" a="1"/>
  <c r="AI317" i="26" s="1"/>
  <c r="AH330" i="26" a="1"/>
  <c r="AH330" i="26" s="1"/>
  <c r="AF214" i="26" a="1"/>
  <c r="AF214" i="26" s="1"/>
  <c r="AF301" i="26" a="1"/>
  <c r="AF301" i="26" s="1"/>
  <c r="AJ317" i="26" a="1"/>
  <c r="AJ317" i="26" s="1"/>
  <c r="AF328" i="26" a="1"/>
  <c r="AF328" i="26" s="1"/>
  <c r="AG217" i="26" a="1"/>
  <c r="AG217" i="26" s="1"/>
  <c r="AJ303" i="26" a="1"/>
  <c r="AJ303" i="26" s="1"/>
  <c r="AH315" i="26" a="1"/>
  <c r="AH315" i="26" s="1"/>
  <c r="AJ330" i="26" a="1"/>
  <c r="AJ330" i="26" s="1"/>
  <c r="AH214" i="26" a="1"/>
  <c r="AH214" i="26" s="1"/>
  <c r="AF304" i="26" a="1"/>
  <c r="AF304" i="26" s="1"/>
  <c r="AI315" i="26" a="1"/>
  <c r="AI315" i="26" s="1"/>
  <c r="AJ325" i="26" a="1"/>
  <c r="AJ325" i="26" s="1"/>
  <c r="AI214" i="26" a="1"/>
  <c r="AI214" i="26" s="1"/>
  <c r="AH223" i="26" a="1"/>
  <c r="AH223" i="26" s="1"/>
  <c r="AG310" i="26" a="1"/>
  <c r="AG310" i="26" s="1"/>
  <c r="AJ320" i="26" a="1"/>
  <c r="AJ320" i="26" s="1"/>
  <c r="AI333" i="26" a="1"/>
  <c r="AI333" i="26" s="1"/>
  <c r="AI220" i="26" a="1"/>
  <c r="AI220" i="26" s="1"/>
  <c r="AH304" i="26" a="1"/>
  <c r="AH304" i="26" s="1"/>
  <c r="AF326" i="26" a="1"/>
  <c r="AF326" i="26" s="1"/>
  <c r="AJ211" i="26" a="1"/>
  <c r="AJ211" i="26" s="1"/>
  <c r="AJ223" i="26" a="1"/>
  <c r="AJ223" i="26" s="1"/>
  <c r="AI307" i="26" a="1"/>
  <c r="AI307" i="26" s="1"/>
  <c r="AI318" i="26" a="1"/>
  <c r="AI318" i="26" s="1"/>
  <c r="AH331" i="26" a="1"/>
  <c r="AH331" i="26" s="1"/>
  <c r="AG215" i="26" a="1"/>
  <c r="AG215" i="26" s="1"/>
  <c r="AJ304" i="26" a="1"/>
  <c r="AJ304" i="26" s="1"/>
  <c r="AG316" i="26" a="1"/>
  <c r="AG316" i="26" s="1"/>
  <c r="AH326" i="26" a="1"/>
  <c r="AH326" i="26" s="1"/>
  <c r="AH218" i="26" a="1"/>
  <c r="AH218" i="26" s="1"/>
  <c r="AF302" i="26" a="1"/>
  <c r="AF302" i="26" s="1"/>
  <c r="AI313" i="26" a="1"/>
  <c r="AI313" i="26" s="1"/>
  <c r="AG209" i="26" a="1"/>
  <c r="AG209" i="26" s="1"/>
  <c r="AH296" i="26" a="1"/>
  <c r="AH296" i="26" s="1"/>
  <c r="AG308" i="26" a="1"/>
  <c r="AG308" i="26" s="1"/>
  <c r="AF319" i="26" a="1"/>
  <c r="AF319" i="26" s="1"/>
  <c r="AG329" i="26" a="1"/>
  <c r="AG329" i="26" s="1"/>
  <c r="AI215" i="26" a="1"/>
  <c r="AI215" i="26" s="1"/>
  <c r="AI299" i="26" a="1"/>
  <c r="AI299" i="26" s="1"/>
  <c r="AG311" i="26" a="1"/>
  <c r="AG311" i="26" s="1"/>
  <c r="AH329" i="26" a="1"/>
  <c r="AH329" i="26" s="1"/>
  <c r="AG210" i="26" a="1"/>
  <c r="AG210" i="26" s="1"/>
  <c r="AH213" i="26" a="1"/>
  <c r="AH213" i="26" s="1"/>
  <c r="AH216" i="26" a="1"/>
  <c r="AH216" i="26" s="1"/>
  <c r="AG222" i="26" a="1"/>
  <c r="AG222" i="26" s="1"/>
  <c r="AH297" i="26" a="1"/>
  <c r="AH297" i="26" s="1"/>
  <c r="AH300" i="26" a="1"/>
  <c r="AH300" i="26" s="1"/>
  <c r="AF303" i="26" a="1"/>
  <c r="AF303" i="26" s="1"/>
  <c r="AG306" i="26" a="1"/>
  <c r="AG306" i="26" s="1"/>
  <c r="AG309" i="26" a="1"/>
  <c r="AG309" i="26" s="1"/>
  <c r="AJ314" i="26" a="1"/>
  <c r="AJ314" i="26" s="1"/>
  <c r="AG317" i="26" a="1"/>
  <c r="AG317" i="26" s="1"/>
  <c r="AJ319" i="26" a="1"/>
  <c r="AJ319" i="26" s="1"/>
  <c r="AG322" i="26" a="1"/>
  <c r="AG322" i="26" s="1"/>
  <c r="AI327" i="26" a="1"/>
  <c r="AI327" i="26" s="1"/>
  <c r="AF330" i="26" a="1"/>
  <c r="AF330" i="26" s="1"/>
  <c r="AI332" i="26" a="1"/>
  <c r="AI332" i="26" s="1"/>
  <c r="AI216" i="26" a="1"/>
  <c r="AI216" i="26" s="1"/>
  <c r="AI297" i="26" a="1"/>
  <c r="AI297" i="26" s="1"/>
  <c r="AH306" i="26" a="1"/>
  <c r="AH306" i="26" s="1"/>
  <c r="AG330" i="26" a="1"/>
  <c r="AG330" i="26" s="1"/>
  <c r="AJ213" i="26" a="1"/>
  <c r="AJ213" i="26" s="1"/>
  <c r="AJ297" i="26" a="1"/>
  <c r="AJ297" i="26" s="1"/>
  <c r="AI309" i="26" a="1"/>
  <c r="AI309" i="26" s="1"/>
  <c r="AF320" i="26" a="1"/>
  <c r="AF320" i="26" s="1"/>
  <c r="AJ210" i="26" a="1"/>
  <c r="AJ210" i="26" s="1"/>
  <c r="AJ222" i="26" a="1"/>
  <c r="AJ222" i="26" s="1"/>
  <c r="AG312" i="26" a="1"/>
  <c r="AG312" i="26" s="1"/>
  <c r="AJ322" i="26" a="1"/>
  <c r="AJ322" i="26" s="1"/>
  <c r="AF211" i="26" a="1"/>
  <c r="AF211" i="26" s="1"/>
  <c r="AF223" i="26" a="1"/>
  <c r="AF223" i="26" s="1"/>
  <c r="AJ309" i="26" a="1"/>
  <c r="AJ309" i="26" s="1"/>
  <c r="AI325" i="26" a="1"/>
  <c r="AI325" i="26" s="1"/>
  <c r="AG211" i="26" a="1"/>
  <c r="AG211" i="26" s="1"/>
  <c r="AH298" i="26" a="1"/>
  <c r="AH298" i="26" s="1"/>
  <c r="AF310" i="26" a="1"/>
  <c r="AF310" i="26" s="1"/>
  <c r="AI320" i="26" a="1"/>
  <c r="AI320" i="26" s="1"/>
  <c r="AH333" i="26" a="1"/>
  <c r="AH333" i="26" s="1"/>
  <c r="AH220" i="26" a="1"/>
  <c r="AH220" i="26" s="1"/>
  <c r="AG304" i="26" a="1"/>
  <c r="AG304" i="26" s="1"/>
  <c r="AJ315" i="26" a="1"/>
  <c r="AJ315" i="26" s="1"/>
  <c r="AI328" i="26" a="1"/>
  <c r="AI328" i="26" s="1"/>
  <c r="AJ214" i="26" a="1"/>
  <c r="AJ214" i="26" s="1"/>
  <c r="AI223" i="26" a="1"/>
  <c r="AI223" i="26" s="1"/>
  <c r="AH318" i="26" a="1"/>
  <c r="AH318" i="26" s="1"/>
  <c r="AG331" i="26" a="1"/>
  <c r="AG331" i="26" s="1"/>
  <c r="AF218" i="26" a="1"/>
  <c r="AF218" i="26" s="1"/>
  <c r="AI301" i="26" a="1"/>
  <c r="AI301" i="26" s="1"/>
  <c r="AG313" i="26" a="1"/>
  <c r="AG313" i="26" s="1"/>
  <c r="AI323" i="26" a="1"/>
  <c r="AI323" i="26" s="1"/>
  <c r="AG218" i="26" a="1"/>
  <c r="AG218" i="26" s="1"/>
  <c r="AJ301" i="26" a="1"/>
  <c r="AJ301" i="26" s="1"/>
  <c r="AH313" i="26" a="1"/>
  <c r="AH313" i="26" s="1"/>
  <c r="AJ323" i="26" a="1"/>
  <c r="AJ323" i="26" s="1"/>
  <c r="AF209" i="26" a="1"/>
  <c r="AF209" i="26" s="1"/>
  <c r="AG296" i="26" a="1"/>
  <c r="AG296" i="26" s="1"/>
  <c r="AF308" i="26" a="1"/>
  <c r="AF308" i="26" s="1"/>
  <c r="AH321" i="26" a="1"/>
  <c r="AH321" i="26" s="1"/>
  <c r="AH215" i="26" a="1"/>
  <c r="AH215" i="26" s="1"/>
  <c r="AG302" i="26" a="1"/>
  <c r="AG302" i="26" s="1"/>
  <c r="AJ313" i="26" a="1"/>
  <c r="AJ313" i="26" s="1"/>
  <c r="AF324" i="26" a="1"/>
  <c r="AF324" i="26" s="1"/>
  <c r="AH209" i="26" a="1"/>
  <c r="AH209" i="26" s="1"/>
  <c r="AH221" i="26" a="1"/>
  <c r="AH221" i="26" s="1"/>
  <c r="AH305" i="26" a="1"/>
  <c r="AH305" i="26" s="1"/>
  <c r="AJ316" i="26" a="1"/>
  <c r="AJ316" i="26" s="1"/>
  <c r="AJ208" i="26" a="1"/>
  <c r="AJ208" i="26" s="1"/>
  <c r="AF208" i="26" a="1"/>
  <c r="AF208" i="26" s="1"/>
  <c r="AH208" i="26" a="1"/>
  <c r="AH208" i="26" s="1"/>
  <c r="AI208" i="26" a="1"/>
  <c r="AI208" i="26" s="1"/>
  <c r="AG208" i="26" a="1"/>
  <c r="AG208" i="26" s="1"/>
  <c r="L375" i="26" a="1"/>
  <c r="L375" i="26" s="1"/>
  <c r="H343" i="26" a="1"/>
  <c r="H343" i="26" s="1"/>
  <c r="L342" i="26" a="1"/>
  <c r="L342" i="26" s="1"/>
  <c r="K340" i="26" a="1"/>
  <c r="K340" i="26" s="1"/>
  <c r="H371" i="26" a="1"/>
  <c r="H371" i="26" s="1"/>
  <c r="K386" i="26" a="1"/>
  <c r="K386" i="26" s="1"/>
  <c r="H370" i="26" a="1"/>
  <c r="H370" i="26" s="1"/>
  <c r="K385" i="26" a="1"/>
  <c r="K385" i="26" s="1"/>
  <c r="L353" i="26" a="1"/>
  <c r="L353" i="26" s="1"/>
  <c r="L352" i="26" a="1"/>
  <c r="L352" i="26" s="1"/>
  <c r="L383" i="26" a="1"/>
  <c r="L383" i="26" s="1"/>
  <c r="I351" i="26" a="1"/>
  <c r="I351" i="26" s="1"/>
  <c r="H407" i="26" a="1"/>
  <c r="H407" i="26" s="1"/>
  <c r="J380" i="26" a="1"/>
  <c r="J380" i="26" s="1"/>
  <c r="J364" i="26" a="1"/>
  <c r="J364" i="26" s="1"/>
  <c r="K348" i="26" a="1"/>
  <c r="K348" i="26" s="1"/>
  <c r="L332" i="26" a="1"/>
  <c r="L332" i="26" s="1"/>
  <c r="X332" i="26" s="1"/>
  <c r="K316" i="26" a="1"/>
  <c r="K316" i="26" s="1"/>
  <c r="W316" i="26" s="1"/>
  <c r="S61" i="26" a="1"/>
  <c r="S61" i="26" s="1"/>
  <c r="S22" i="26" a="1"/>
  <c r="S22" i="26" s="1"/>
  <c r="F352" i="26" s="1" a="1"/>
  <c r="F352" i="26" s="1"/>
  <c r="L296" i="26" a="1"/>
  <c r="L296" i="26" s="1"/>
  <c r="X296" i="26" s="1"/>
  <c r="AA5" i="26" a="1"/>
  <c r="AA5" i="26" s="1"/>
  <c r="S45" i="26" a="1"/>
  <c r="S45" i="26" s="1"/>
  <c r="D10" i="39"/>
  <c r="U46" i="26" a="1"/>
  <c r="U46" i="26" s="1"/>
  <c r="C10" i="39"/>
  <c r="M309" i="39" s="1" a="1"/>
  <c r="M309" i="39" s="1"/>
  <c r="D46" i="26" a="1"/>
  <c r="D46" i="26" s="1"/>
  <c r="D66" i="26" s="1"/>
  <c r="U45" i="26" a="1"/>
  <c r="U45" i="26" s="1"/>
  <c r="S225" i="26" s="1" a="1"/>
  <c r="S225" i="26" s="1"/>
  <c r="U66" i="26" a="1"/>
  <c r="U66" i="26" s="1"/>
  <c r="S66" i="26" a="1"/>
  <c r="S66" i="26" s="1"/>
  <c r="U65" i="26" a="1"/>
  <c r="U65" i="26" s="1"/>
  <c r="S65" i="26" a="1"/>
  <c r="S65" i="26" s="1"/>
  <c r="S46" i="26" a="1"/>
  <c r="S46" i="26" s="1"/>
  <c r="L402" i="26" a="1"/>
  <c r="L402" i="26" s="1"/>
  <c r="H386" i="26" a="1"/>
  <c r="H386" i="26" s="1"/>
  <c r="AM52" i="9"/>
  <c r="AF52" i="9"/>
  <c r="J369" i="26" a="1"/>
  <c r="J369" i="26" s="1"/>
  <c r="H331" i="26" a="1"/>
  <c r="H331" i="26" s="1"/>
  <c r="T331" i="26" s="1"/>
  <c r="AG99" i="28"/>
  <c r="K347" i="26" a="1"/>
  <c r="K347" i="26" s="1"/>
  <c r="H354" i="26" a="1"/>
  <c r="H354" i="26" s="1"/>
  <c r="K301" i="26" a="1"/>
  <c r="K301" i="26" s="1"/>
  <c r="W301" i="26" s="1"/>
  <c r="H347" i="26" a="1"/>
  <c r="H347" i="26" s="1"/>
  <c r="K298" i="26" a="1"/>
  <c r="K298" i="26" s="1"/>
  <c r="W298" i="26" s="1"/>
  <c r="H378" i="26" a="1"/>
  <c r="H378" i="26" s="1"/>
  <c r="L395" i="26" a="1"/>
  <c r="L395" i="26" s="1"/>
  <c r="J353" i="26" a="1"/>
  <c r="J353" i="26" s="1"/>
  <c r="L337" i="26" a="1"/>
  <c r="L337" i="26" s="1"/>
  <c r="AM51" i="9"/>
  <c r="AG52" i="28"/>
  <c r="K321" i="26" a="1"/>
  <c r="K321" i="26" s="1"/>
  <c r="W321" i="26" s="1"/>
  <c r="V45" i="27"/>
  <c r="W45" i="27" s="1"/>
  <c r="J375" i="26" a="1"/>
  <c r="J375" i="26" s="1"/>
  <c r="J385" i="26" a="1"/>
  <c r="J385" i="26" s="1"/>
  <c r="H369" i="26" a="1"/>
  <c r="H369" i="26" s="1"/>
  <c r="L359" i="26" a="1"/>
  <c r="L359" i="26" s="1"/>
  <c r="I359" i="26" a="1"/>
  <c r="I359" i="26" s="1"/>
  <c r="K337" i="26" a="1"/>
  <c r="K337" i="26" s="1"/>
  <c r="H353" i="26" a="1"/>
  <c r="H353" i="26" s="1"/>
  <c r="CC141" i="28"/>
  <c r="L327" i="26" a="1"/>
  <c r="L327" i="26" s="1"/>
  <c r="X327" i="26" s="1"/>
  <c r="K353" i="26" a="1"/>
  <c r="K353" i="26" s="1"/>
  <c r="J343" i="26" a="1"/>
  <c r="J343" i="26" s="1"/>
  <c r="I370" i="26" a="1"/>
  <c r="I370" i="26" s="1"/>
  <c r="J327" i="26" a="1"/>
  <c r="J327" i="26" s="1"/>
  <c r="V327" i="26" s="1"/>
  <c r="J321" i="26" a="1"/>
  <c r="J321" i="26" s="1"/>
  <c r="V321" i="26" s="1"/>
  <c r="L311" i="26" a="1"/>
  <c r="L311" i="26" s="1"/>
  <c r="X311" i="26" s="1"/>
  <c r="L369" i="26" a="1"/>
  <c r="L369" i="26" s="1"/>
  <c r="P45" i="27"/>
  <c r="R45" i="27" s="1"/>
  <c r="AR141" i="28"/>
  <c r="BO141" i="28"/>
  <c r="K320" i="26" a="1"/>
  <c r="K320" i="26" s="1"/>
  <c r="W320" i="26" s="1"/>
  <c r="I299" i="26" a="1"/>
  <c r="I299" i="26" s="1"/>
  <c r="U299" i="26" s="1"/>
  <c r="J384" i="26" a="1"/>
  <c r="J384" i="26" s="1"/>
  <c r="H352" i="26" a="1"/>
  <c r="H352" i="26" s="1"/>
  <c r="E46" i="27"/>
  <c r="BA46" i="27" s="1"/>
  <c r="BE46" i="27" s="1"/>
  <c r="K296" i="26" a="1"/>
  <c r="K296" i="26" s="1"/>
  <c r="W296" i="26" s="1"/>
  <c r="L400" i="26" a="1"/>
  <c r="L400" i="26" s="1"/>
  <c r="L380" i="26" a="1"/>
  <c r="L380" i="26" s="1"/>
  <c r="L304" i="26" a="1"/>
  <c r="L304" i="26" s="1"/>
  <c r="X304" i="26" s="1"/>
  <c r="K208" i="26" a="1"/>
  <c r="K208" i="26" s="1"/>
  <c r="W208" i="26" s="1"/>
  <c r="L336" i="26" a="1"/>
  <c r="L336" i="26" s="1"/>
  <c r="I352" i="26" a="1"/>
  <c r="I352" i="26" s="1"/>
  <c r="H320" i="26" a="1"/>
  <c r="H320" i="26" s="1"/>
  <c r="T320" i="26" s="1"/>
  <c r="AK141" i="28"/>
  <c r="L397" i="26" a="1"/>
  <c r="L397" i="26" s="1"/>
  <c r="O141" i="28" a="1"/>
  <c r="O141" i="28" s="1"/>
  <c r="L378" i="26" a="1"/>
  <c r="L378" i="26" s="1"/>
  <c r="J336" i="26" a="1"/>
  <c r="J336" i="26" s="1"/>
  <c r="K333" i="26" a="1"/>
  <c r="K333" i="26" s="1"/>
  <c r="L320" i="26" a="1"/>
  <c r="L320" i="26" s="1"/>
  <c r="X320" i="26" s="1"/>
  <c r="L343" i="26" a="1"/>
  <c r="L343" i="26" s="1"/>
  <c r="K396" i="26" a="1"/>
  <c r="K396" i="26" s="1"/>
  <c r="L393" i="26" a="1"/>
  <c r="L393" i="26" s="1"/>
  <c r="J379" i="26" a="1"/>
  <c r="J379" i="26" s="1"/>
  <c r="H311" i="26" a="1"/>
  <c r="H311" i="26" s="1"/>
  <c r="T311" i="26" s="1"/>
  <c r="BN140" i="28"/>
  <c r="AP141" i="28"/>
  <c r="K336" i="26" a="1"/>
  <c r="K336" i="26" s="1"/>
  <c r="J400" i="26" a="1"/>
  <c r="J400" i="26" s="1"/>
  <c r="J331" i="26" a="1"/>
  <c r="J331" i="26" s="1"/>
  <c r="V331" i="26" s="1"/>
  <c r="J368" i="26" a="1"/>
  <c r="J368" i="26" s="1"/>
  <c r="I368" i="26" a="1"/>
  <c r="I368" i="26" s="1"/>
  <c r="L297" i="26" a="1"/>
  <c r="L297" i="26" s="1"/>
  <c r="X297" i="26" s="1"/>
  <c r="L384" i="26" a="1"/>
  <c r="L384" i="26" s="1"/>
  <c r="I379" i="26" a="1"/>
  <c r="I379" i="26" s="1"/>
  <c r="BA45" i="27"/>
  <c r="BE45" i="27" s="1"/>
  <c r="K359" i="26" a="1"/>
  <c r="K359" i="26" s="1"/>
  <c r="J391" i="26" a="1"/>
  <c r="J391" i="26" s="1"/>
  <c r="H399" i="26" a="1"/>
  <c r="H399" i="26" s="1"/>
  <c r="K383" i="26" a="1"/>
  <c r="K383" i="26" s="1"/>
  <c r="H333" i="26" a="1"/>
  <c r="H333" i="26" s="1"/>
  <c r="K366" i="26" a="1"/>
  <c r="K366" i="26" s="1"/>
  <c r="H348" i="26" a="1"/>
  <c r="H348" i="26" s="1"/>
  <c r="L349" i="26" a="1"/>
  <c r="L349" i="26" s="1"/>
  <c r="J367" i="26" a="1"/>
  <c r="J367" i="26" s="1"/>
  <c r="I208" i="26" a="1"/>
  <c r="I208" i="26" s="1"/>
  <c r="U208" i="26" s="1"/>
  <c r="BN138" i="28"/>
  <c r="L312" i="26" a="1"/>
  <c r="L312" i="26" s="1"/>
  <c r="X312" i="26" s="1"/>
  <c r="K297" i="26" a="1"/>
  <c r="K297" i="26" s="1"/>
  <c r="W297" i="26" s="1"/>
  <c r="J397" i="26" a="1"/>
  <c r="J397" i="26" s="1"/>
  <c r="K391" i="26" a="1"/>
  <c r="K391" i="26" s="1"/>
  <c r="J337" i="26" a="1"/>
  <c r="J337" i="26" s="1"/>
  <c r="AN141" i="28"/>
  <c r="H208" i="26" a="1"/>
  <c r="H208" i="26" s="1"/>
  <c r="T208" i="26" s="1"/>
  <c r="K351" i="26" a="1"/>
  <c r="K351" i="26" s="1"/>
  <c r="K397" i="26" a="1"/>
  <c r="K397" i="26" s="1"/>
  <c r="I343" i="26" a="1"/>
  <c r="I343" i="26" s="1"/>
  <c r="BV140" i="28"/>
  <c r="J317" i="26" a="1"/>
  <c r="J317" i="26" s="1"/>
  <c r="V317" i="26" s="1"/>
  <c r="L391" i="26" a="1"/>
  <c r="L391" i="26" s="1"/>
  <c r="H297" i="26" a="1"/>
  <c r="H297" i="26" s="1"/>
  <c r="T297" i="26" s="1"/>
  <c r="K327" i="26" a="1"/>
  <c r="K327" i="26" s="1"/>
  <c r="W327" i="26" s="1"/>
  <c r="J333" i="26" a="1"/>
  <c r="J333" i="26" s="1"/>
  <c r="K311" i="26" a="1"/>
  <c r="K311" i="26" s="1"/>
  <c r="W311" i="26" s="1"/>
  <c r="I384" i="26" a="1"/>
  <c r="I384" i="26" s="1"/>
  <c r="K303" i="26" a="1"/>
  <c r="K303" i="26" s="1"/>
  <c r="W303" i="26" s="1"/>
  <c r="AS139" i="28"/>
  <c r="K349" i="26" a="1"/>
  <c r="K349" i="26" s="1"/>
  <c r="J301" i="26" a="1"/>
  <c r="J301" i="26" s="1"/>
  <c r="V301" i="26" s="1"/>
  <c r="L317" i="26" a="1"/>
  <c r="L317" i="26" s="1"/>
  <c r="X317" i="26" s="1"/>
  <c r="AJ140" i="28"/>
  <c r="I301" i="26" a="1"/>
  <c r="I301" i="26" s="1"/>
  <c r="U301" i="26" s="1"/>
  <c r="I364" i="26" a="1"/>
  <c r="I364" i="26" s="1"/>
  <c r="AP45" i="27"/>
  <c r="BN139" i="28"/>
  <c r="L316" i="26" a="1"/>
  <c r="L316" i="26" s="1"/>
  <c r="X316" i="26" s="1"/>
  <c r="I317" i="26" a="1"/>
  <c r="I317" i="26" s="1"/>
  <c r="U317" i="26" s="1"/>
  <c r="H316" i="26" a="1"/>
  <c r="H316" i="26" s="1"/>
  <c r="T316" i="26" s="1"/>
  <c r="H381" i="26" a="1"/>
  <c r="H381" i="26" s="1"/>
  <c r="I401" i="26" a="1"/>
  <c r="I401" i="26" s="1"/>
  <c r="J401" i="26" a="1"/>
  <c r="J401" i="26" s="1"/>
  <c r="Q45" i="27"/>
  <c r="S45" i="27" s="1"/>
  <c r="H301" i="26" a="1"/>
  <c r="H301" i="26" s="1"/>
  <c r="T301" i="26" s="1"/>
  <c r="H318" i="26" a="1"/>
  <c r="H318" i="26" s="1"/>
  <c r="T318" i="26" s="1"/>
  <c r="L301" i="26" a="1"/>
  <c r="L301" i="26" s="1"/>
  <c r="X301" i="26" s="1"/>
  <c r="J332" i="26" a="1"/>
  <c r="J332" i="26" s="1"/>
  <c r="V332" i="26" s="1"/>
  <c r="L348" i="26" a="1"/>
  <c r="L348" i="26" s="1"/>
  <c r="K332" i="26" a="1"/>
  <c r="K332" i="26" s="1"/>
  <c r="W332" i="26" s="1"/>
  <c r="I399" i="26" a="1"/>
  <c r="I399" i="26" s="1"/>
  <c r="AH45" i="27"/>
  <c r="AI45" i="27" s="1"/>
  <c r="G301" i="26" a="1"/>
  <c r="G301" i="26" s="1"/>
  <c r="J300" i="26" a="1"/>
  <c r="J300" i="26" s="1"/>
  <c r="V300" i="26" s="1"/>
  <c r="G348" i="26" a="1"/>
  <c r="G348" i="26" s="1"/>
  <c r="G312" i="26" a="1"/>
  <c r="G312" i="26" s="1"/>
  <c r="L313" i="26" a="1"/>
  <c r="L313" i="26" s="1"/>
  <c r="X313" i="26" s="1"/>
  <c r="I297" i="26" a="1"/>
  <c r="I297" i="26" s="1"/>
  <c r="U297" i="26" s="1"/>
  <c r="H349" i="26" a="1"/>
  <c r="H349" i="26" s="1"/>
  <c r="J299" i="26" a="1"/>
  <c r="J299" i="26" s="1"/>
  <c r="V299" i="26" s="1"/>
  <c r="J359" i="26" a="1"/>
  <c r="J359" i="26" s="1"/>
  <c r="H385" i="26" a="1"/>
  <c r="H385" i="26" s="1"/>
  <c r="G52" i="9" a="1"/>
  <c r="G52" i="9" s="1"/>
  <c r="J49" i="28" s="1"/>
  <c r="BT49" i="28" s="1"/>
  <c r="AS141" i="28"/>
  <c r="H384" i="26" a="1"/>
  <c r="H384" i="26" s="1"/>
  <c r="BN137" i="28"/>
  <c r="BR140" i="28"/>
  <c r="J352" i="26" a="1"/>
  <c r="J352" i="26" s="1"/>
  <c r="I354" i="26" a="1"/>
  <c r="I354" i="26" s="1"/>
  <c r="L385" i="26" a="1"/>
  <c r="L385" i="26" s="1"/>
  <c r="G353" i="26" a="1"/>
  <c r="G353" i="26" s="1"/>
  <c r="AG79" i="28"/>
  <c r="BF141" i="28"/>
  <c r="H336" i="26" a="1"/>
  <c r="H336" i="26" s="1"/>
  <c r="H305" i="26" a="1"/>
  <c r="H305" i="26" s="1"/>
  <c r="T305" i="26" s="1"/>
  <c r="BS139" i="28"/>
  <c r="K368" i="26" a="1"/>
  <c r="K368" i="26" s="1"/>
  <c r="L305" i="26" a="1"/>
  <c r="L305" i="26" s="1"/>
  <c r="X305" i="26" s="1"/>
  <c r="K400" i="26" a="1"/>
  <c r="K400" i="26" s="1"/>
  <c r="J399" i="26" a="1"/>
  <c r="J399" i="26" s="1"/>
  <c r="H337" i="26" a="1"/>
  <c r="H337" i="26" s="1"/>
  <c r="AH141" i="28"/>
  <c r="L300" i="26" a="1"/>
  <c r="L300" i="26" s="1"/>
  <c r="X300" i="26" s="1"/>
  <c r="I381" i="26" a="1"/>
  <c r="I381" i="26" s="1"/>
  <c r="L368" i="26" a="1"/>
  <c r="L368" i="26" s="1"/>
  <c r="AL141" i="28"/>
  <c r="AG78" i="28"/>
  <c r="BO140" i="28"/>
  <c r="K318" i="26" a="1"/>
  <c r="K318" i="26" s="1"/>
  <c r="W318" i="26" s="1"/>
  <c r="I300" i="26" a="1"/>
  <c r="I300" i="26" s="1"/>
  <c r="U300" i="26" s="1"/>
  <c r="K305" i="26" a="1"/>
  <c r="K305" i="26" s="1"/>
  <c r="W305" i="26" s="1"/>
  <c r="L401" i="26" a="1"/>
  <c r="L401" i="26" s="1"/>
  <c r="AI141" i="28"/>
  <c r="AG62" i="28"/>
  <c r="AH139" i="28"/>
  <c r="BA140" i="28"/>
  <c r="K363" i="26" a="1"/>
  <c r="K363" i="26" s="1"/>
  <c r="K335" i="26" a="1"/>
  <c r="K335" i="26" s="1"/>
  <c r="L381" i="26" a="1"/>
  <c r="L381" i="26" s="1"/>
  <c r="J396" i="26" a="1"/>
  <c r="J396" i="26" s="1"/>
  <c r="J316" i="26" a="1"/>
  <c r="J316" i="26" s="1"/>
  <c r="V316" i="26" s="1"/>
  <c r="H400" i="26" a="1"/>
  <c r="H400" i="26" s="1"/>
  <c r="J208" i="26" a="1"/>
  <c r="J208" i="26" s="1"/>
  <c r="V208" i="26" s="1"/>
  <c r="I320" i="26" a="1"/>
  <c r="I320" i="26" s="1"/>
  <c r="U320" i="26" s="1"/>
  <c r="K352" i="26" a="1"/>
  <c r="K352" i="26" s="1"/>
  <c r="G51" i="9" a="1"/>
  <c r="G51" i="9" s="1"/>
  <c r="J48" i="28" s="1"/>
  <c r="BS48" i="28" s="1"/>
  <c r="BQ140" i="28"/>
  <c r="AG81" i="28"/>
  <c r="I353" i="26" a="1"/>
  <c r="I353" i="26" s="1"/>
  <c r="BP141" i="28"/>
  <c r="H401" i="26" a="1"/>
  <c r="H401" i="26" s="1"/>
  <c r="K354" i="26" a="1"/>
  <c r="K354" i="26" s="1"/>
  <c r="I385" i="26" a="1"/>
  <c r="I385" i="26" s="1"/>
  <c r="K369" i="26" a="1"/>
  <c r="K369" i="26" s="1"/>
  <c r="K304" i="26" a="1"/>
  <c r="K304" i="26" s="1"/>
  <c r="W304" i="26" s="1"/>
  <c r="L321" i="26" a="1"/>
  <c r="L321" i="26" s="1"/>
  <c r="X321" i="26" s="1"/>
  <c r="AY141" i="28"/>
  <c r="G349" i="26" a="1"/>
  <c r="G349" i="26" s="1"/>
  <c r="H299" i="26" a="1"/>
  <c r="H299" i="26" s="1"/>
  <c r="T299" i="26" s="1"/>
  <c r="J381" i="26" a="1"/>
  <c r="J381" i="26" s="1"/>
  <c r="AU141" i="28"/>
  <c r="BS140" i="28"/>
  <c r="J305" i="26" a="1"/>
  <c r="J305" i="26" s="1"/>
  <c r="V305" i="26" s="1"/>
  <c r="L319" i="26" a="1"/>
  <c r="L319" i="26" s="1"/>
  <c r="X319" i="26" s="1"/>
  <c r="H321" i="26" a="1"/>
  <c r="H321" i="26" s="1"/>
  <c r="T321" i="26" s="1"/>
  <c r="J395" i="26" a="1"/>
  <c r="J395" i="26" s="1"/>
  <c r="J304" i="26" a="1"/>
  <c r="J304" i="26" s="1"/>
  <c r="V304" i="26" s="1"/>
  <c r="C209" i="26"/>
  <c r="J209" i="26" s="1" a="1"/>
  <c r="J209" i="26" s="1"/>
  <c r="V209" i="26" s="1"/>
  <c r="AG114" i="28"/>
  <c r="AX139" i="28"/>
  <c r="AX140" i="28"/>
  <c r="L335" i="26" a="1"/>
  <c r="L335" i="26" s="1"/>
  <c r="J347" i="26" a="1"/>
  <c r="J347" i="26" s="1"/>
  <c r="H397" i="26" a="1"/>
  <c r="H397" i="26" s="1"/>
  <c r="I348" i="26" a="1"/>
  <c r="I348" i="26" s="1"/>
  <c r="I400" i="26" a="1"/>
  <c r="I400" i="26" s="1"/>
  <c r="J320" i="26" a="1"/>
  <c r="J320" i="26" s="1"/>
  <c r="V320" i="26" s="1"/>
  <c r="AL140" i="28"/>
  <c r="I321" i="26" a="1"/>
  <c r="I321" i="26" s="1"/>
  <c r="U321" i="26" s="1"/>
  <c r="BR141" i="28"/>
  <c r="I305" i="26" a="1"/>
  <c r="I305" i="26" s="1"/>
  <c r="U305" i="26" s="1"/>
  <c r="BI141" i="28"/>
  <c r="L299" i="26" a="1"/>
  <c r="L299" i="26" s="1"/>
  <c r="X299" i="26" s="1"/>
  <c r="AG110" i="28"/>
  <c r="L365" i="26" a="1"/>
  <c r="L365" i="26" s="1"/>
  <c r="I304" i="26" a="1"/>
  <c r="I304" i="26" s="1"/>
  <c r="U304" i="26" s="1"/>
  <c r="Z45" i="27"/>
  <c r="X45" i="27" s="1"/>
  <c r="AV45" i="27" s="1"/>
  <c r="BA141" i="28"/>
  <c r="K370" i="26" a="1"/>
  <c r="K370" i="26" s="1"/>
  <c r="I397" i="26" a="1"/>
  <c r="I397" i="26" s="1"/>
  <c r="I347" i="26" a="1"/>
  <c r="I347" i="26" s="1"/>
  <c r="BR138" i="28"/>
  <c r="BS141" i="28"/>
  <c r="L333" i="26" a="1"/>
  <c r="L333" i="26" s="1"/>
  <c r="I349" i="26" a="1"/>
  <c r="I349" i="26" s="1"/>
  <c r="L298" i="26" a="1"/>
  <c r="L298" i="26" s="1"/>
  <c r="X298" i="26" s="1"/>
  <c r="K317" i="26" a="1"/>
  <c r="K317" i="26" s="1"/>
  <c r="W317" i="26" s="1"/>
  <c r="H304" i="26" a="1"/>
  <c r="H304" i="26" s="1"/>
  <c r="T304" i="26" s="1"/>
  <c r="J296" i="26" a="1"/>
  <c r="J296" i="26" s="1"/>
  <c r="V296" i="26" s="1"/>
  <c r="L329" i="26" a="1"/>
  <c r="L329" i="26" s="1"/>
  <c r="X329" i="26" s="1"/>
  <c r="AH140" i="28"/>
  <c r="H363" i="26" a="1"/>
  <c r="H363" i="26" s="1"/>
  <c r="I316" i="26" a="1"/>
  <c r="I316" i="26" s="1"/>
  <c r="U316" i="26" s="1"/>
  <c r="K395" i="26" a="1"/>
  <c r="K395" i="26" s="1"/>
  <c r="K313" i="26" a="1"/>
  <c r="K313" i="26" s="1"/>
  <c r="W313" i="26" s="1"/>
  <c r="J363" i="26" a="1"/>
  <c r="J363" i="26" s="1"/>
  <c r="L351" i="26" a="1"/>
  <c r="L351" i="26" s="1"/>
  <c r="J314" i="26" a="1"/>
  <c r="J314" i="26" s="1"/>
  <c r="V314" i="26" s="1"/>
  <c r="J313" i="26" a="1"/>
  <c r="J313" i="26" s="1"/>
  <c r="V313" i="26" s="1"/>
  <c r="L345" i="26" a="1"/>
  <c r="L345" i="26" s="1"/>
  <c r="I296" i="26" a="1"/>
  <c r="I296" i="26" s="1"/>
  <c r="U296" i="26" s="1"/>
  <c r="AG88" i="28"/>
  <c r="AK140" i="28"/>
  <c r="BP140" i="28"/>
  <c r="I311" i="26" a="1"/>
  <c r="I311" i="26" s="1"/>
  <c r="U311" i="26" s="1"/>
  <c r="J394" i="26" a="1"/>
  <c r="J394" i="26" s="1"/>
  <c r="I375" i="26" a="1"/>
  <c r="I375" i="26" s="1"/>
  <c r="I380" i="26" a="1"/>
  <c r="I380" i="26" s="1"/>
  <c r="L379" i="26" a="1"/>
  <c r="L379" i="26" s="1"/>
  <c r="H379" i="26" a="1"/>
  <c r="H379" i="26" s="1"/>
  <c r="L362" i="26" a="1"/>
  <c r="L362" i="26" s="1"/>
  <c r="J362" i="26" a="1"/>
  <c r="J362" i="26" s="1"/>
  <c r="L303" i="26" a="1"/>
  <c r="L303" i="26" s="1"/>
  <c r="X303" i="26" s="1"/>
  <c r="J311" i="26" a="1"/>
  <c r="J311" i="26" s="1"/>
  <c r="V311" i="26" s="1"/>
  <c r="AT141" i="28"/>
  <c r="H296" i="26" a="1"/>
  <c r="H296" i="26" s="1"/>
  <c r="T296" i="26" s="1"/>
  <c r="H362" i="26" a="1"/>
  <c r="H362" i="26" s="1"/>
  <c r="K345" i="26" a="1"/>
  <c r="K345" i="26" s="1"/>
  <c r="I314" i="26" a="1"/>
  <c r="I314" i="26" s="1"/>
  <c r="U314" i="26" s="1"/>
  <c r="AQ141" i="28"/>
  <c r="K346" i="26" a="1"/>
  <c r="K346" i="26" s="1"/>
  <c r="AM141" i="28"/>
  <c r="I377" i="26" a="1"/>
  <c r="I377" i="26" s="1"/>
  <c r="J330" i="26" a="1"/>
  <c r="J330" i="26" s="1"/>
  <c r="V330" i="26" s="1"/>
  <c r="J312" i="26" a="1"/>
  <c r="J312" i="26" s="1"/>
  <c r="V312" i="26" s="1"/>
  <c r="J346" i="26" a="1"/>
  <c r="J346" i="26" s="1"/>
  <c r="BK140" i="28"/>
  <c r="AS140" i="28"/>
  <c r="I395" i="26" a="1"/>
  <c r="I395" i="26" s="1"/>
  <c r="I361" i="26" a="1"/>
  <c r="I361" i="26" s="1"/>
  <c r="J329" i="26" a="1"/>
  <c r="J329" i="26" s="1"/>
  <c r="V329" i="26" s="1"/>
  <c r="I313" i="26" a="1"/>
  <c r="I313" i="26" s="1"/>
  <c r="U313" i="26" s="1"/>
  <c r="H361" i="26" a="1"/>
  <c r="H361" i="26" s="1"/>
  <c r="L314" i="26" a="1"/>
  <c r="L314" i="26" s="1"/>
  <c r="X314" i="26" s="1"/>
  <c r="I329" i="26" a="1"/>
  <c r="I329" i="26" s="1"/>
  <c r="U329" i="26" s="1"/>
  <c r="H359" i="26" a="1"/>
  <c r="H359" i="26" s="1"/>
  <c r="I335" i="26" a="1"/>
  <c r="I335" i="26" s="1"/>
  <c r="L22" i="9" a="1"/>
  <c r="L22" i="9" s="1"/>
  <c r="AN140" i="28"/>
  <c r="AY140" i="28"/>
  <c r="K312" i="26" a="1"/>
  <c r="K312" i="26" s="1"/>
  <c r="W312" i="26" s="1"/>
  <c r="H329" i="26" a="1"/>
  <c r="H329" i="26" s="1"/>
  <c r="T329" i="26" s="1"/>
  <c r="I346" i="26" a="1"/>
  <c r="I346" i="26" s="1"/>
  <c r="I394" i="26" a="1"/>
  <c r="I394" i="26" s="1"/>
  <c r="K375" i="26" a="1"/>
  <c r="K375" i="26" s="1"/>
  <c r="U48" i="28" a="1"/>
  <c r="U48" i="28" s="1"/>
  <c r="AG98" i="28"/>
  <c r="AK137" i="28"/>
  <c r="J351" i="26" a="1"/>
  <c r="J351" i="26" s="1"/>
  <c r="K377" i="26" a="1"/>
  <c r="K377" i="26" s="1"/>
  <c r="L364" i="26" a="1"/>
  <c r="L364" i="26" s="1"/>
  <c r="K380" i="26" a="1"/>
  <c r="K380" i="26" s="1"/>
  <c r="I327" i="26" a="1"/>
  <c r="I327" i="26" s="1"/>
  <c r="U327" i="26" s="1"/>
  <c r="K343" i="26" a="1"/>
  <c r="K343" i="26" s="1"/>
  <c r="J345" i="26" a="1"/>
  <c r="J345" i="26" s="1"/>
  <c r="H375" i="26" a="1"/>
  <c r="H375" i="26" s="1"/>
  <c r="J348" i="26" a="1"/>
  <c r="J348" i="26" s="1"/>
  <c r="H380" i="26" a="1"/>
  <c r="H380" i="26" s="1"/>
  <c r="I391" i="26" a="1"/>
  <c r="I391" i="26" s="1"/>
  <c r="L361" i="26" a="1"/>
  <c r="L361" i="26" s="1"/>
  <c r="K365" i="26" a="1"/>
  <c r="K365" i="26" s="1"/>
  <c r="O48" i="28" a="1"/>
  <c r="O48" i="28" s="1"/>
  <c r="L23" i="9" a="1"/>
  <c r="L23" i="9" s="1"/>
  <c r="J377" i="26" a="1"/>
  <c r="J377" i="26" s="1"/>
  <c r="H330" i="26" a="1"/>
  <c r="H330" i="26" s="1"/>
  <c r="T330" i="26" s="1"/>
  <c r="I345" i="26" a="1"/>
  <c r="I345" i="26" s="1"/>
  <c r="AG125" i="28"/>
  <c r="L394" i="26" a="1"/>
  <c r="L394" i="26" s="1"/>
  <c r="H335" i="26" a="1"/>
  <c r="H335" i="26" s="1"/>
  <c r="AI140" i="28"/>
  <c r="L21" i="9" a="1"/>
  <c r="L21" i="9" s="1"/>
  <c r="AG82" i="28"/>
  <c r="H327" i="26" a="1"/>
  <c r="H327" i="26" s="1"/>
  <c r="T327" i="26" s="1"/>
  <c r="H394" i="26" a="1"/>
  <c r="H394" i="26" s="1"/>
  <c r="Q48" i="28" a="1"/>
  <c r="Q48" i="28" s="1"/>
  <c r="AR140" i="28"/>
  <c r="I312" i="26" a="1"/>
  <c r="I312" i="26" s="1"/>
  <c r="U312" i="26" s="1"/>
  <c r="H364" i="26" a="1"/>
  <c r="H364" i="26" s="1"/>
  <c r="L377" i="26" a="1"/>
  <c r="L377" i="26" s="1"/>
  <c r="K300" i="26" a="1"/>
  <c r="K300" i="26" s="1"/>
  <c r="W300" i="26" s="1"/>
  <c r="L346" i="26" a="1"/>
  <c r="L346" i="26" s="1"/>
  <c r="L396" i="26" a="1"/>
  <c r="L396" i="26" s="1"/>
  <c r="K393" i="26" a="1"/>
  <c r="K393" i="26" s="1"/>
  <c r="H314" i="26" a="1"/>
  <c r="H314" i="26" s="1"/>
  <c r="T314" i="26" s="1"/>
  <c r="J303" i="26" a="1"/>
  <c r="J303" i="26" s="1"/>
  <c r="V303" i="26" s="1"/>
  <c r="AP140" i="28"/>
  <c r="H313" i="26" a="1"/>
  <c r="H313" i="26" s="1"/>
  <c r="T313" i="26" s="1"/>
  <c r="H345" i="26" a="1"/>
  <c r="H345" i="26" s="1"/>
  <c r="H312" i="26" a="1"/>
  <c r="H312" i="26" s="1"/>
  <c r="T312" i="26" s="1"/>
  <c r="AG140" i="28"/>
  <c r="BB45" i="27"/>
  <c r="BF45" i="27" s="1"/>
  <c r="AR136" i="28"/>
  <c r="H392" i="26" a="1"/>
  <c r="H392" i="26" s="1"/>
  <c r="L392" i="26" a="1"/>
  <c r="L392" i="26" s="1"/>
  <c r="K392" i="26" a="1"/>
  <c r="K392" i="26" s="1"/>
  <c r="I392" i="26" a="1"/>
  <c r="I392" i="26" s="1"/>
  <c r="J392" i="26" a="1"/>
  <c r="J392" i="26" s="1"/>
  <c r="H376" i="26" a="1"/>
  <c r="H376" i="26" s="1"/>
  <c r="I376" i="26" a="1"/>
  <c r="I376" i="26" s="1"/>
  <c r="K376" i="26" a="1"/>
  <c r="K376" i="26" s="1"/>
  <c r="L376" i="26" a="1"/>
  <c r="L376" i="26" s="1"/>
  <c r="J376" i="26" a="1"/>
  <c r="J376" i="26" s="1"/>
  <c r="J328" i="26" a="1"/>
  <c r="J328" i="26" s="1"/>
  <c r="V328" i="26" s="1"/>
  <c r="K328" i="26" a="1"/>
  <c r="K328" i="26" s="1"/>
  <c r="W328" i="26" s="1"/>
  <c r="H328" i="26" a="1"/>
  <c r="H328" i="26" s="1"/>
  <c r="T328" i="26" s="1"/>
  <c r="L328" i="26" a="1"/>
  <c r="L328" i="26" s="1"/>
  <c r="X328" i="26" s="1"/>
  <c r="I328" i="26" a="1"/>
  <c r="I328" i="26" s="1"/>
  <c r="U328" i="26" s="1"/>
  <c r="AY136" i="28"/>
  <c r="BB136" i="28"/>
  <c r="BC136" i="28"/>
  <c r="AQ136" i="28"/>
  <c r="BO136" i="28"/>
  <c r="BR49" i="28"/>
  <c r="BP136" i="28"/>
  <c r="J344" i="26" a="1"/>
  <c r="J344" i="26" s="1"/>
  <c r="I344" i="26" a="1"/>
  <c r="I344" i="26" s="1"/>
  <c r="H344" i="26" a="1"/>
  <c r="H344" i="26" s="1"/>
  <c r="K344" i="26" a="1"/>
  <c r="K344" i="26" s="1"/>
  <c r="L344" i="26" a="1"/>
  <c r="L344" i="26" s="1"/>
  <c r="BN135" i="28"/>
  <c r="J360" i="26" a="1"/>
  <c r="J360" i="26" s="1"/>
  <c r="I360" i="26" a="1"/>
  <c r="I360" i="26" s="1"/>
  <c r="L360" i="26" a="1"/>
  <c r="L360" i="26" s="1"/>
  <c r="H360" i="26" a="1"/>
  <c r="H360" i="26" s="1"/>
  <c r="K360" i="26" a="1"/>
  <c r="K360" i="26" s="1"/>
  <c r="H390" i="26" a="1"/>
  <c r="H390" i="26" s="1"/>
  <c r="K390" i="26" a="1"/>
  <c r="K390" i="26" s="1"/>
  <c r="I390" i="26" a="1"/>
  <c r="I390" i="26" s="1"/>
  <c r="J390" i="26" a="1"/>
  <c r="J390" i="26" s="1"/>
  <c r="L390" i="26" a="1"/>
  <c r="L390" i="26" s="1"/>
  <c r="I358" i="26" a="1"/>
  <c r="I358" i="26" s="1"/>
  <c r="K358" i="26" a="1"/>
  <c r="K358" i="26" s="1"/>
  <c r="L358" i="26" a="1"/>
  <c r="L358" i="26" s="1"/>
  <c r="H358" i="26" a="1"/>
  <c r="H358" i="26" s="1"/>
  <c r="J358" i="26" a="1"/>
  <c r="J358" i="26" s="1"/>
  <c r="H326" i="26" a="1"/>
  <c r="H326" i="26" s="1"/>
  <c r="T326" i="26" s="1"/>
  <c r="J326" i="26" a="1"/>
  <c r="J326" i="26" s="1"/>
  <c r="V326" i="26" s="1"/>
  <c r="I326" i="26" a="1"/>
  <c r="I326" i="26" s="1"/>
  <c r="U326" i="26" s="1"/>
  <c r="K326" i="26" a="1"/>
  <c r="K326" i="26" s="1"/>
  <c r="W326" i="26" s="1"/>
  <c r="Q140" i="28" a="1"/>
  <c r="Q140" i="28" s="1"/>
  <c r="S140" i="28" a="1"/>
  <c r="S140" i="28" s="1"/>
  <c r="G405" i="26" a="1"/>
  <c r="G405" i="26" s="1"/>
  <c r="H405" i="26" a="1"/>
  <c r="H405" i="26" s="1"/>
  <c r="H389" i="26" a="1"/>
  <c r="H389" i="26" s="1"/>
  <c r="K389" i="26" a="1"/>
  <c r="K389" i="26" s="1"/>
  <c r="J389" i="26" a="1"/>
  <c r="J389" i="26" s="1"/>
  <c r="I389" i="26" a="1"/>
  <c r="I389" i="26" s="1"/>
  <c r="L389" i="26" a="1"/>
  <c r="L389" i="26" s="1"/>
  <c r="K373" i="26" a="1"/>
  <c r="K373" i="26" s="1"/>
  <c r="J373" i="26" a="1"/>
  <c r="J373" i="26" s="1"/>
  <c r="I373" i="26" a="1"/>
  <c r="I373" i="26" s="1"/>
  <c r="L373" i="26" a="1"/>
  <c r="L373" i="26" s="1"/>
  <c r="H373" i="26" a="1"/>
  <c r="H373" i="26" s="1"/>
  <c r="K357" i="26" a="1"/>
  <c r="K357" i="26" s="1"/>
  <c r="L357" i="26" a="1"/>
  <c r="L357" i="26" s="1"/>
  <c r="H357" i="26" a="1"/>
  <c r="H357" i="26" s="1"/>
  <c r="I357" i="26" a="1"/>
  <c r="I357" i="26" s="1"/>
  <c r="J357" i="26" a="1"/>
  <c r="J357" i="26" s="1"/>
  <c r="I341" i="26" a="1"/>
  <c r="I341" i="26" s="1"/>
  <c r="K341" i="26" a="1"/>
  <c r="K341" i="26" s="1"/>
  <c r="J341" i="26" a="1"/>
  <c r="J341" i="26" s="1"/>
  <c r="G341" i="26" a="1"/>
  <c r="G341" i="26" s="1"/>
  <c r="H341" i="26" a="1"/>
  <c r="H341" i="26" s="1"/>
  <c r="L341" i="26" a="1"/>
  <c r="L341" i="26" s="1"/>
  <c r="I325" i="26" a="1"/>
  <c r="I325" i="26" s="1"/>
  <c r="U325" i="26" s="1"/>
  <c r="H325" i="26" a="1"/>
  <c r="H325" i="26" s="1"/>
  <c r="T325" i="26" s="1"/>
  <c r="K325" i="26" a="1"/>
  <c r="K325" i="26" s="1"/>
  <c r="W325" i="26" s="1"/>
  <c r="L325" i="26" a="1"/>
  <c r="L325" i="26" s="1"/>
  <c r="X325" i="26" s="1"/>
  <c r="J325" i="26" a="1"/>
  <c r="J325" i="26" s="1"/>
  <c r="V325" i="26" s="1"/>
  <c r="L309" i="26" a="1"/>
  <c r="L309" i="26" s="1"/>
  <c r="X309" i="26" s="1"/>
  <c r="J309" i="26" a="1"/>
  <c r="J309" i="26" s="1"/>
  <c r="V309" i="26" s="1"/>
  <c r="K309" i="26" a="1"/>
  <c r="K309" i="26" s="1"/>
  <c r="W309" i="26" s="1"/>
  <c r="H309" i="26" a="1"/>
  <c r="H309" i="26" s="1"/>
  <c r="T309" i="26" s="1"/>
  <c r="I309" i="26" a="1"/>
  <c r="I309" i="26" s="1"/>
  <c r="U309" i="26" s="1"/>
  <c r="H404" i="26" a="1"/>
  <c r="H404" i="26" s="1"/>
  <c r="K388" i="26" a="1"/>
  <c r="K388" i="26" s="1"/>
  <c r="J388" i="26" a="1"/>
  <c r="J388" i="26" s="1"/>
  <c r="I388" i="26" a="1"/>
  <c r="I388" i="26" s="1"/>
  <c r="L388" i="26" a="1"/>
  <c r="L388" i="26" s="1"/>
  <c r="K372" i="26" a="1"/>
  <c r="K372" i="26" s="1"/>
  <c r="L372" i="26" a="1"/>
  <c r="L372" i="26" s="1"/>
  <c r="I372" i="26" a="1"/>
  <c r="I372" i="26" s="1"/>
  <c r="J372" i="26" a="1"/>
  <c r="J372" i="26" s="1"/>
  <c r="H356" i="26" a="1"/>
  <c r="H356" i="26" s="1"/>
  <c r="J356" i="26" a="1"/>
  <c r="J356" i="26" s="1"/>
  <c r="L356" i="26" a="1"/>
  <c r="L356" i="26" s="1"/>
  <c r="I356" i="26" a="1"/>
  <c r="I356" i="26" s="1"/>
  <c r="K356" i="26" a="1"/>
  <c r="K356" i="26" s="1"/>
  <c r="I340" i="26" a="1"/>
  <c r="I340" i="26" s="1"/>
  <c r="L340" i="26" a="1"/>
  <c r="L340" i="26" s="1"/>
  <c r="J340" i="26" a="1"/>
  <c r="J340" i="26" s="1"/>
  <c r="H340" i="26" a="1"/>
  <c r="H340" i="26" s="1"/>
  <c r="L324" i="26" a="1"/>
  <c r="L324" i="26" s="1"/>
  <c r="X324" i="26" s="1"/>
  <c r="J324" i="26" a="1"/>
  <c r="J324" i="26" s="1"/>
  <c r="V324" i="26" s="1"/>
  <c r="H324" i="26" a="1"/>
  <c r="H324" i="26" s="1"/>
  <c r="T324" i="26" s="1"/>
  <c r="I324" i="26" a="1"/>
  <c r="I324" i="26" s="1"/>
  <c r="U324" i="26" s="1"/>
  <c r="K324" i="26" a="1"/>
  <c r="K324" i="26" s="1"/>
  <c r="W324" i="26" s="1"/>
  <c r="L308" i="26" a="1"/>
  <c r="L308" i="26" s="1"/>
  <c r="X308" i="26" s="1"/>
  <c r="K308" i="26" a="1"/>
  <c r="K308" i="26" s="1"/>
  <c r="W308" i="26" s="1"/>
  <c r="J308" i="26" a="1"/>
  <c r="J308" i="26" s="1"/>
  <c r="V308" i="26" s="1"/>
  <c r="I308" i="26" a="1"/>
  <c r="I308" i="26" s="1"/>
  <c r="U308" i="26" s="1"/>
  <c r="G308" i="26" a="1"/>
  <c r="G308" i="26" s="1"/>
  <c r="H308" i="26" a="1"/>
  <c r="H308" i="26" s="1"/>
  <c r="T308" i="26" s="1"/>
  <c r="G403" i="26" a="1"/>
  <c r="G403" i="26" s="1"/>
  <c r="L387" i="26" a="1"/>
  <c r="L387" i="26" s="1"/>
  <c r="K387" i="26" a="1"/>
  <c r="K387" i="26" s="1"/>
  <c r="H387" i="26" a="1"/>
  <c r="H387" i="26" s="1"/>
  <c r="J387" i="26" a="1"/>
  <c r="J387" i="26" s="1"/>
  <c r="I387" i="26" a="1"/>
  <c r="I387" i="26" s="1"/>
  <c r="I371" i="26" a="1"/>
  <c r="I371" i="26" s="1"/>
  <c r="L371" i="26" a="1"/>
  <c r="L371" i="26" s="1"/>
  <c r="J371" i="26" a="1"/>
  <c r="J371" i="26" s="1"/>
  <c r="K371" i="26" a="1"/>
  <c r="K371" i="26" s="1"/>
  <c r="H355" i="26" a="1"/>
  <c r="H355" i="26" s="1"/>
  <c r="L355" i="26" a="1"/>
  <c r="L355" i="26" s="1"/>
  <c r="I355" i="26" a="1"/>
  <c r="I355" i="26" s="1"/>
  <c r="K355" i="26" a="1"/>
  <c r="K355" i="26" s="1"/>
  <c r="L339" i="26" a="1"/>
  <c r="L339" i="26" s="1"/>
  <c r="J339" i="26" a="1"/>
  <c r="J339" i="26" s="1"/>
  <c r="H339" i="26" a="1"/>
  <c r="H339" i="26" s="1"/>
  <c r="K339" i="26" a="1"/>
  <c r="K339" i="26" s="1"/>
  <c r="I339" i="26" a="1"/>
  <c r="I339" i="26" s="1"/>
  <c r="J323" i="26" a="1"/>
  <c r="J323" i="26" s="1"/>
  <c r="V323" i="26" s="1"/>
  <c r="I323" i="26" a="1"/>
  <c r="I323" i="26" s="1"/>
  <c r="U323" i="26" s="1"/>
  <c r="L323" i="26" a="1"/>
  <c r="L323" i="26" s="1"/>
  <c r="X323" i="26" s="1"/>
  <c r="H323" i="26" a="1"/>
  <c r="H323" i="26" s="1"/>
  <c r="T323" i="26" s="1"/>
  <c r="I307" i="26" a="1"/>
  <c r="I307" i="26" s="1"/>
  <c r="U307" i="26" s="1"/>
  <c r="L307" i="26" a="1"/>
  <c r="L307" i="26" s="1"/>
  <c r="X307" i="26" s="1"/>
  <c r="J307" i="26" a="1"/>
  <c r="J307" i="26" s="1"/>
  <c r="V307" i="26" s="1"/>
  <c r="K307" i="26" a="1"/>
  <c r="K307" i="26" s="1"/>
  <c r="W307" i="26" s="1"/>
  <c r="BC138" i="28"/>
  <c r="BG138" i="28"/>
  <c r="AI138" i="28"/>
  <c r="AL138" i="28"/>
  <c r="AM138" i="28"/>
  <c r="BS138" i="28"/>
  <c r="AQ138" i="28"/>
  <c r="BF138" i="28"/>
  <c r="BT138" i="28"/>
  <c r="AN138" i="28"/>
  <c r="AJ138" i="28"/>
  <c r="BU138" i="28"/>
  <c r="AX138" i="28"/>
  <c r="BA138" i="28"/>
  <c r="AR138" i="28"/>
  <c r="BV138" i="28"/>
  <c r="AH138" i="28"/>
  <c r="BO138" i="28"/>
  <c r="AS138" i="28"/>
  <c r="BI138" i="28"/>
  <c r="AP138" i="28"/>
  <c r="BJ138" i="28"/>
  <c r="AT138" i="28"/>
  <c r="AU138" i="28"/>
  <c r="AY138" i="28"/>
  <c r="BP138" i="28"/>
  <c r="AK138" i="28"/>
  <c r="J355" i="26" a="1"/>
  <c r="J355" i="26" s="1"/>
  <c r="BK138" i="28"/>
  <c r="C204" i="26"/>
  <c r="N5" i="26" s="1"/>
  <c r="L374" i="26" a="1"/>
  <c r="L374" i="26" s="1"/>
  <c r="I374" i="26" a="1"/>
  <c r="I374" i="26" s="1"/>
  <c r="J374" i="26" a="1"/>
  <c r="J374" i="26" s="1"/>
  <c r="K374" i="26" a="1"/>
  <c r="K374" i="26" s="1"/>
  <c r="H374" i="26" a="1"/>
  <c r="H374" i="26" s="1"/>
  <c r="H342" i="26" a="1"/>
  <c r="H342" i="26" s="1"/>
  <c r="I342" i="26" a="1"/>
  <c r="I342" i="26" s="1"/>
  <c r="J342" i="26" a="1"/>
  <c r="J342" i="26" s="1"/>
  <c r="K342" i="26" a="1"/>
  <c r="K342" i="26" s="1"/>
  <c r="L310" i="26" a="1"/>
  <c r="L310" i="26" s="1"/>
  <c r="X310" i="26" s="1"/>
  <c r="K310" i="26" a="1"/>
  <c r="K310" i="26" s="1"/>
  <c r="W310" i="26" s="1"/>
  <c r="H310" i="26" a="1"/>
  <c r="H310" i="26" s="1"/>
  <c r="T310" i="26" s="1"/>
  <c r="G310" i="26" a="1"/>
  <c r="G310" i="26" s="1"/>
  <c r="I310" i="26" a="1"/>
  <c r="I310" i="26" s="1"/>
  <c r="U310" i="26" s="1"/>
  <c r="J310" i="26" a="1"/>
  <c r="J310" i="26" s="1"/>
  <c r="V310" i="26" s="1"/>
  <c r="L326" i="26" a="1"/>
  <c r="L326" i="26" s="1"/>
  <c r="X326" i="26" s="1"/>
  <c r="H388" i="26" a="1"/>
  <c r="H388" i="26" s="1"/>
  <c r="H307" i="26" a="1"/>
  <c r="H307" i="26" s="1"/>
  <c r="T307" i="26" s="1"/>
  <c r="J398" i="26" a="1"/>
  <c r="J398" i="26" s="1"/>
  <c r="L398" i="26" a="1"/>
  <c r="L398" i="26" s="1"/>
  <c r="I398" i="26" a="1"/>
  <c r="I398" i="26" s="1"/>
  <c r="K398" i="26" a="1"/>
  <c r="K398" i="26" s="1"/>
  <c r="J382" i="26" a="1"/>
  <c r="J382" i="26" s="1"/>
  <c r="I382" i="26" a="1"/>
  <c r="I382" i="26" s="1"/>
  <c r="L382" i="26" a="1"/>
  <c r="L382" i="26" s="1"/>
  <c r="G382" i="26" a="1"/>
  <c r="G382" i="26" s="1"/>
  <c r="I366" i="26" a="1"/>
  <c r="I366" i="26" s="1"/>
  <c r="L366" i="26" a="1"/>
  <c r="L366" i="26" s="1"/>
  <c r="J366" i="26" a="1"/>
  <c r="J366" i="26" s="1"/>
  <c r="H366" i="26" a="1"/>
  <c r="H366" i="26" s="1"/>
  <c r="H350" i="26" a="1"/>
  <c r="H350" i="26" s="1"/>
  <c r="K350" i="26" a="1"/>
  <c r="K350" i="26" s="1"/>
  <c r="L350" i="26" a="1"/>
  <c r="L350" i="26" s="1"/>
  <c r="I350" i="26" a="1"/>
  <c r="I350" i="26" s="1"/>
  <c r="I334" i="26" a="1"/>
  <c r="I334" i="26" s="1"/>
  <c r="K334" i="26" a="1"/>
  <c r="K334" i="26" s="1"/>
  <c r="H334" i="26" a="1"/>
  <c r="H334" i="26" s="1"/>
  <c r="L334" i="26" a="1"/>
  <c r="L334" i="26" s="1"/>
  <c r="J318" i="26" a="1"/>
  <c r="J318" i="26" s="1"/>
  <c r="V318" i="26" s="1"/>
  <c r="L318" i="26" a="1"/>
  <c r="L318" i="26" s="1"/>
  <c r="X318" i="26" s="1"/>
  <c r="I318" i="26" a="1"/>
  <c r="I318" i="26" s="1"/>
  <c r="U318" i="26" s="1"/>
  <c r="I302" i="26" a="1"/>
  <c r="I302" i="26" s="1"/>
  <c r="U302" i="26" s="1"/>
  <c r="H302" i="26" a="1"/>
  <c r="H302" i="26" s="1"/>
  <c r="T302" i="26" s="1"/>
  <c r="L302" i="26" a="1"/>
  <c r="L302" i="26" s="1"/>
  <c r="X302" i="26" s="1"/>
  <c r="K302" i="26" a="1"/>
  <c r="K302" i="26" s="1"/>
  <c r="W302" i="26" s="1"/>
  <c r="BK104" i="28"/>
  <c r="BH104" i="28"/>
  <c r="BI104" i="28"/>
  <c r="H382" i="26" a="1"/>
  <c r="H382" i="26" s="1"/>
  <c r="H398" i="26" a="1"/>
  <c r="H398" i="26" s="1"/>
  <c r="S138" i="28" a="1"/>
  <c r="S138" i="28" s="1"/>
  <c r="O138" i="28" a="1"/>
  <c r="O138" i="28" s="1"/>
  <c r="J402" i="26" a="1"/>
  <c r="J402" i="26" s="1"/>
  <c r="I402" i="26" a="1"/>
  <c r="I402" i="26" s="1"/>
  <c r="H402" i="26" a="1"/>
  <c r="H402" i="26" s="1"/>
  <c r="K402" i="26" a="1"/>
  <c r="K402" i="26" s="1"/>
  <c r="L386" i="26" a="1"/>
  <c r="L386" i="26" s="1"/>
  <c r="I386" i="26" a="1"/>
  <c r="I386" i="26" s="1"/>
  <c r="J386" i="26" a="1"/>
  <c r="J386" i="26" s="1"/>
  <c r="L370" i="26" a="1"/>
  <c r="L370" i="26" s="1"/>
  <c r="J370" i="26" a="1"/>
  <c r="J370" i="26" s="1"/>
  <c r="J354" i="26" a="1"/>
  <c r="J354" i="26" s="1"/>
  <c r="K338" i="26" a="1"/>
  <c r="K338" i="26" s="1"/>
  <c r="H338" i="26" a="1"/>
  <c r="H338" i="26" s="1"/>
  <c r="I338" i="26" a="1"/>
  <c r="I338" i="26" s="1"/>
  <c r="L338" i="26" a="1"/>
  <c r="L338" i="26" s="1"/>
  <c r="J338" i="26" a="1"/>
  <c r="J338" i="26" s="1"/>
  <c r="L322" i="26" a="1"/>
  <c r="L322" i="26" s="1"/>
  <c r="X322" i="26" s="1"/>
  <c r="I322" i="26" a="1"/>
  <c r="I322" i="26" s="1"/>
  <c r="U322" i="26" s="1"/>
  <c r="K322" i="26" a="1"/>
  <c r="K322" i="26" s="1"/>
  <c r="W322" i="26" s="1"/>
  <c r="J322" i="26" a="1"/>
  <c r="J322" i="26" s="1"/>
  <c r="V322" i="26" s="1"/>
  <c r="H322" i="26" a="1"/>
  <c r="H322" i="26" s="1"/>
  <c r="T322" i="26" s="1"/>
  <c r="H306" i="26" a="1"/>
  <c r="H306" i="26" s="1"/>
  <c r="T306" i="26" s="1"/>
  <c r="L306" i="26" a="1"/>
  <c r="L306" i="26" s="1"/>
  <c r="X306" i="26" s="1"/>
  <c r="K306" i="26" a="1"/>
  <c r="K306" i="26" s="1"/>
  <c r="W306" i="26" s="1"/>
  <c r="F306" i="26" a="1"/>
  <c r="F306" i="26" s="1"/>
  <c r="J306" i="26" a="1"/>
  <c r="J306" i="26" s="1"/>
  <c r="V306" i="26" s="1"/>
  <c r="I306" i="26" a="1"/>
  <c r="I306" i="26" s="1"/>
  <c r="U306" i="26" s="1"/>
  <c r="L24" i="9" a="1"/>
  <c r="L24" i="9" s="1"/>
  <c r="C41" i="27"/>
  <c r="J319" i="26" a="1"/>
  <c r="J319" i="26" s="1"/>
  <c r="V319" i="26" s="1"/>
  <c r="AD45" i="27"/>
  <c r="AZ45" i="27"/>
  <c r="BD45" i="27" s="1"/>
  <c r="BQ139" i="28"/>
  <c r="BT139" i="28"/>
  <c r="BU139" i="28"/>
  <c r="BF139" i="28"/>
  <c r="AK139" i="28"/>
  <c r="AR139" i="28"/>
  <c r="BA139" i="28"/>
  <c r="AQ139" i="28"/>
  <c r="BI139" i="28"/>
  <c r="BP139" i="28"/>
  <c r="BJ139" i="28"/>
  <c r="BK139" i="28"/>
  <c r="AJ139" i="28"/>
  <c r="L399" i="26" a="1"/>
  <c r="L399" i="26" s="1"/>
  <c r="K399" i="26" a="1"/>
  <c r="K399" i="26" s="1"/>
  <c r="I383" i="26" a="1"/>
  <c r="I383" i="26" s="1"/>
  <c r="H383" i="26" a="1"/>
  <c r="H383" i="26" s="1"/>
  <c r="J383" i="26" a="1"/>
  <c r="J383" i="26" s="1"/>
  <c r="H367" i="26" a="1"/>
  <c r="H367" i="26" s="1"/>
  <c r="L367" i="26" a="1"/>
  <c r="L367" i="26" s="1"/>
  <c r="K367" i="26" a="1"/>
  <c r="K367" i="26" s="1"/>
  <c r="H351" i="26" a="1"/>
  <c r="H351" i="26" s="1"/>
  <c r="I319" i="26" a="1"/>
  <c r="I319" i="26" s="1"/>
  <c r="U319" i="26" s="1"/>
  <c r="H319" i="26" a="1"/>
  <c r="H319" i="26" s="1"/>
  <c r="T319" i="26" s="1"/>
  <c r="K319" i="26" a="1"/>
  <c r="K319" i="26" s="1"/>
  <c r="W319" i="26" s="1"/>
  <c r="H303" i="26" a="1"/>
  <c r="H303" i="26" s="1"/>
  <c r="T303" i="26" s="1"/>
  <c r="C209" i="39"/>
  <c r="C53" i="9"/>
  <c r="AG63" i="28"/>
  <c r="BP137" i="28"/>
  <c r="BN136" i="28"/>
  <c r="AX137" i="28"/>
  <c r="BI137" i="28"/>
  <c r="G363" i="26" a="1"/>
  <c r="G363" i="26" s="1"/>
  <c r="I363" i="26" a="1"/>
  <c r="I363" i="26" s="1"/>
  <c r="K331" i="26" a="1"/>
  <c r="K331" i="26" s="1"/>
  <c r="W331" i="26" s="1"/>
  <c r="L331" i="26" a="1"/>
  <c r="L331" i="26" s="1"/>
  <c r="X331" i="26" s="1"/>
  <c r="K315" i="26" a="1"/>
  <c r="K315" i="26" s="1"/>
  <c r="W315" i="26" s="1"/>
  <c r="H315" i="26" a="1"/>
  <c r="H315" i="26" s="1"/>
  <c r="T315" i="26" s="1"/>
  <c r="J298" i="26" a="1"/>
  <c r="J298" i="26" s="1"/>
  <c r="V298" i="26" s="1"/>
  <c r="H298" i="26" a="1"/>
  <c r="H298" i="26" s="1"/>
  <c r="T298" i="26" s="1"/>
  <c r="BO137" i="28"/>
  <c r="I315" i="26" a="1"/>
  <c r="I315" i="26" s="1"/>
  <c r="U315" i="26" s="1"/>
  <c r="I298" i="26" a="1"/>
  <c r="I298" i="26" s="1"/>
  <c r="U298" i="26" s="1"/>
  <c r="I378" i="26" a="1"/>
  <c r="I378" i="26" s="1"/>
  <c r="K378" i="26" a="1"/>
  <c r="K378" i="26" s="1"/>
  <c r="K362" i="26" a="1"/>
  <c r="K362" i="26" s="1"/>
  <c r="L330" i="26" a="1"/>
  <c r="L330" i="26" s="1"/>
  <c r="X330" i="26" s="1"/>
  <c r="K330" i="26" a="1"/>
  <c r="K330" i="26" s="1"/>
  <c r="W330" i="26" s="1"/>
  <c r="I330" i="26" a="1"/>
  <c r="I330" i="26" s="1"/>
  <c r="U330" i="26" s="1"/>
  <c r="K314" i="26" a="1"/>
  <c r="K314" i="26" s="1"/>
  <c r="W314" i="26" s="1"/>
  <c r="J297" i="26" a="1"/>
  <c r="J297" i="26" s="1"/>
  <c r="V297" i="26" s="1"/>
  <c r="BF137" i="28"/>
  <c r="L315" i="26" a="1"/>
  <c r="L315" i="26" s="1"/>
  <c r="X315" i="26" s="1"/>
  <c r="G393" i="26" a="1"/>
  <c r="G393" i="26" s="1"/>
  <c r="H393" i="26" a="1"/>
  <c r="H393" i="26" s="1"/>
  <c r="I393" i="26" a="1"/>
  <c r="I393" i="26" s="1"/>
  <c r="H377" i="26" a="1"/>
  <c r="H377" i="26" s="1"/>
  <c r="K361" i="26" a="1"/>
  <c r="K361" i="26" s="1"/>
  <c r="J361" i="26" a="1"/>
  <c r="J361" i="26" s="1"/>
  <c r="I365" i="26" a="1"/>
  <c r="I365" i="26" s="1"/>
  <c r="H365" i="26" a="1"/>
  <c r="H365" i="26" s="1"/>
  <c r="H317" i="26" a="1"/>
  <c r="H317" i="26" s="1"/>
  <c r="T317" i="26" s="1"/>
  <c r="M208" i="26" a="1"/>
  <c r="M208" i="26" s="1"/>
  <c r="Y208" i="26" s="1"/>
  <c r="AK208" i="26" s="1"/>
  <c r="J22" i="26"/>
  <c r="L25" i="9" a="1"/>
  <c r="L25" i="9" s="1"/>
  <c r="I396" i="26" a="1"/>
  <c r="I396" i="26" s="1"/>
  <c r="H396" i="26" a="1"/>
  <c r="H396" i="26" s="1"/>
  <c r="K364" i="26" a="1"/>
  <c r="K364" i="26" s="1"/>
  <c r="G364" i="26" a="1"/>
  <c r="G364" i="26" s="1"/>
  <c r="H332" i="26" a="1"/>
  <c r="H332" i="26" s="1"/>
  <c r="T332" i="26" s="1"/>
  <c r="I332" i="26" a="1"/>
  <c r="I332" i="26" s="1"/>
  <c r="U332" i="26" s="1"/>
  <c r="H300" i="26" a="1"/>
  <c r="H300" i="26" s="1"/>
  <c r="T300" i="26" s="1"/>
  <c r="K299" i="26" a="1"/>
  <c r="K299" i="26" s="1"/>
  <c r="W299" i="26" s="1"/>
  <c r="AG65" i="28"/>
  <c r="BU141" i="28"/>
  <c r="BB141" i="28"/>
  <c r="BC141" i="28"/>
  <c r="AG96" i="28"/>
  <c r="D29" i="28"/>
  <c r="Z108" i="28" s="1"/>
  <c r="AE108" i="28" s="1"/>
  <c r="BU140" i="28"/>
  <c r="AQ140" i="28"/>
  <c r="AT140" i="28"/>
  <c r="AM140" i="28"/>
  <c r="AG58" i="28"/>
  <c r="CC139" i="28"/>
  <c r="O139" i="28" a="1"/>
  <c r="O139" i="28" s="1"/>
  <c r="U139" i="28" a="1"/>
  <c r="U139" i="28" s="1"/>
  <c r="W139" i="28" a="1"/>
  <c r="W139" i="28" s="1"/>
  <c r="AG59" i="28"/>
  <c r="AQ49" i="28"/>
  <c r="AS49" i="28"/>
  <c r="AP49" i="28"/>
  <c r="AU49" i="28"/>
  <c r="AG122" i="28"/>
  <c r="AG106" i="28"/>
  <c r="AG90" i="28"/>
  <c r="E302" i="39"/>
  <c r="E302" i="26"/>
  <c r="O136" i="28" a="1"/>
  <c r="O136" i="28" s="1"/>
  <c r="CC136" i="28"/>
  <c r="S136" i="28" a="1"/>
  <c r="S136" i="28" s="1"/>
  <c r="W136" i="28" a="1"/>
  <c r="W136" i="28" s="1"/>
  <c r="U136" i="28" a="1"/>
  <c r="U136" i="28" s="1"/>
  <c r="Q136" i="28" a="1"/>
  <c r="Q136" i="28" s="1"/>
  <c r="AZ104" i="28"/>
  <c r="AG103" i="28"/>
  <c r="AG73" i="28"/>
  <c r="BD137" i="28"/>
  <c r="BL137" i="28"/>
  <c r="AV137" i="28"/>
  <c r="AY137" i="28"/>
  <c r="AL137" i="28"/>
  <c r="AM137" i="28"/>
  <c r="AS137" i="28"/>
  <c r="BA137" i="28"/>
  <c r="AQ137" i="28"/>
  <c r="AU137" i="28"/>
  <c r="AH137" i="28"/>
  <c r="BB137" i="28"/>
  <c r="BQ137" i="28"/>
  <c r="BT137" i="28"/>
  <c r="BU137" i="28"/>
  <c r="BR137" i="28"/>
  <c r="AP137" i="28"/>
  <c r="AJ137" i="28"/>
  <c r="AN137" i="28"/>
  <c r="AI137" i="28"/>
  <c r="AT137" i="28"/>
  <c r="BC137" i="28"/>
  <c r="AR137" i="28"/>
  <c r="BV137" i="28"/>
  <c r="BG137" i="28"/>
  <c r="BJ137" i="28"/>
  <c r="BK137" i="28"/>
  <c r="AG75" i="28"/>
  <c r="BD136" i="28"/>
  <c r="BL136" i="28"/>
  <c r="AV136" i="28"/>
  <c r="AU136" i="28"/>
  <c r="AI136" i="28"/>
  <c r="BS136" i="28"/>
  <c r="AL136" i="28"/>
  <c r="BQ136" i="28"/>
  <c r="BT136" i="28"/>
  <c r="AN136" i="28"/>
  <c r="AK136" i="28"/>
  <c r="BI136" i="28"/>
  <c r="AT136" i="28"/>
  <c r="AM136" i="28"/>
  <c r="BG136" i="28"/>
  <c r="BJ136" i="28"/>
  <c r="AS136" i="28"/>
  <c r="BK136" i="28"/>
  <c r="BR136" i="28"/>
  <c r="BU136" i="28"/>
  <c r="AJ136" i="28"/>
  <c r="AP136" i="28"/>
  <c r="BA136" i="28"/>
  <c r="BF136" i="28"/>
  <c r="AX136" i="28"/>
  <c r="BV136" i="28"/>
  <c r="AG86" i="28"/>
  <c r="BF104" i="28"/>
  <c r="AG118" i="28"/>
  <c r="Q139" i="28" a="1"/>
  <c r="Q139" i="28" s="1"/>
  <c r="BD104" i="28"/>
  <c r="BL104" i="28"/>
  <c r="AV104" i="28"/>
  <c r="AU104" i="28"/>
  <c r="BC104" i="28"/>
  <c r="BG104" i="28"/>
  <c r="BJ104" i="28"/>
  <c r="AL104" i="28"/>
  <c r="AP104" i="28"/>
  <c r="AM104" i="28"/>
  <c r="AY104" i="28"/>
  <c r="BB104" i="28"/>
  <c r="AS104" i="28"/>
  <c r="AI104" i="28"/>
  <c r="AQ104" i="28"/>
  <c r="AN104" i="28"/>
  <c r="AX104" i="28"/>
  <c r="AK104" i="28"/>
  <c r="BA104" i="28"/>
  <c r="BV104" i="28"/>
  <c r="AR104" i="28"/>
  <c r="AJ104" i="28"/>
  <c r="AT104" i="28"/>
  <c r="CC137" i="28"/>
  <c r="Q137" i="28" a="1"/>
  <c r="Q137" i="28" s="1"/>
  <c r="W137" i="28" a="1"/>
  <c r="W137" i="28" s="1"/>
  <c r="U137" i="28" a="1"/>
  <c r="U137" i="28" s="1"/>
  <c r="AG134" i="28"/>
  <c r="AG53" i="28"/>
  <c r="AG56" i="28"/>
  <c r="AG136" i="28"/>
  <c r="AG132" i="28"/>
  <c r="CC140" i="28"/>
  <c r="U140" i="28" a="1"/>
  <c r="U140" i="28" s="1"/>
  <c r="W140" i="28" a="1"/>
  <c r="W140" i="28" s="1"/>
  <c r="AG92" i="28"/>
  <c r="AG116" i="28"/>
  <c r="O140" i="28" a="1"/>
  <c r="O140" i="28" s="1"/>
  <c r="AG76" i="28"/>
  <c r="O137" i="28" a="1"/>
  <c r="O137" i="28" s="1"/>
  <c r="AG84" i="28"/>
  <c r="S137" i="28" a="1"/>
  <c r="S137" i="28" s="1"/>
  <c r="AG107" i="28"/>
  <c r="AG68" i="28"/>
  <c r="AB93" i="28"/>
  <c r="AG93" i="28" s="1"/>
  <c r="AB112" i="28"/>
  <c r="AG112" i="28" s="1"/>
  <c r="AB83" i="28"/>
  <c r="AG83" i="28" s="1"/>
  <c r="AB123" i="28"/>
  <c r="AG123" i="28" s="1"/>
  <c r="AB117" i="28"/>
  <c r="AG117" i="28" s="1"/>
  <c r="AB139" i="28"/>
  <c r="AG139" i="28" s="1"/>
  <c r="AB77" i="28"/>
  <c r="AG77" i="28" s="1"/>
  <c r="AB128" i="28"/>
  <c r="AG128" i="28" s="1"/>
  <c r="AB115" i="28"/>
  <c r="AG115" i="28" s="1"/>
  <c r="AB89" i="28"/>
  <c r="AG89" i="28" s="1"/>
  <c r="AB108" i="28"/>
  <c r="AG108" i="28" s="1"/>
  <c r="AB138" i="28"/>
  <c r="AG138" i="28" s="1"/>
  <c r="AB109" i="28"/>
  <c r="AG109" i="28" s="1"/>
  <c r="AB49" i="28"/>
  <c r="AG49" i="28" s="1"/>
  <c r="AB131" i="28"/>
  <c r="AG131" i="28" s="1"/>
  <c r="AB105" i="28"/>
  <c r="AG105" i="28" s="1"/>
  <c r="AB124" i="28"/>
  <c r="AG124" i="28" s="1"/>
  <c r="AB94" i="28"/>
  <c r="AG94" i="28" s="1"/>
  <c r="AB50" i="28"/>
  <c r="AG50" i="28" s="1"/>
  <c r="AB72" i="28"/>
  <c r="AG72" i="28" s="1"/>
  <c r="AB91" i="28"/>
  <c r="AG91" i="28" s="1"/>
  <c r="AB102" i="28"/>
  <c r="AG102" i="28" s="1"/>
  <c r="AB95" i="28"/>
  <c r="AG95" i="28" s="1"/>
  <c r="AB51" i="28"/>
  <c r="AG51" i="28" s="1"/>
  <c r="AB121" i="28"/>
  <c r="AG121" i="28" s="1"/>
  <c r="AB135" i="28"/>
  <c r="AG135" i="28" s="1"/>
  <c r="AB111" i="28"/>
  <c r="AG111" i="28" s="1"/>
  <c r="AB67" i="28"/>
  <c r="AG67" i="28" s="1"/>
  <c r="AB48" i="28"/>
  <c r="AG48" i="28" s="1"/>
  <c r="AB54" i="28"/>
  <c r="AG54" i="28" s="1"/>
  <c r="AB141" i="28"/>
  <c r="AG141" i="28" s="1"/>
  <c r="AB85" i="28"/>
  <c r="AG85" i="28" s="1"/>
  <c r="AB113" i="28"/>
  <c r="AG113" i="28" s="1"/>
  <c r="AB104" i="28"/>
  <c r="AG104" i="28" s="1"/>
  <c r="BT104" i="28" s="1"/>
  <c r="AB70" i="28"/>
  <c r="AG70" i="28" s="1"/>
  <c r="AB137" i="28"/>
  <c r="AG137" i="28" s="1"/>
  <c r="AB61" i="28"/>
  <c r="AG61" i="28" s="1"/>
  <c r="AB129" i="28"/>
  <c r="AG129" i="28" s="1"/>
  <c r="AB120" i="28"/>
  <c r="AG120" i="28" s="1"/>
  <c r="AB69" i="28"/>
  <c r="AG69" i="28" s="1"/>
  <c r="AB71" i="28"/>
  <c r="AG71" i="28" s="1"/>
  <c r="AB126" i="28"/>
  <c r="AG126" i="28" s="1"/>
  <c r="AB130" i="28"/>
  <c r="AG130" i="28" s="1"/>
  <c r="AB74" i="28"/>
  <c r="AG74" i="28" s="1"/>
  <c r="AB119" i="28"/>
  <c r="AG119" i="28" s="1"/>
  <c r="CC138" i="28"/>
  <c r="U138" i="28" a="1"/>
  <c r="U138" i="28" s="1"/>
  <c r="W138" i="28" a="1"/>
  <c r="W138" i="28" s="1"/>
  <c r="AN139" i="28"/>
  <c r="BL139" i="28"/>
  <c r="AV139" i="28"/>
  <c r="BD139" i="28"/>
  <c r="BC139" i="28"/>
  <c r="BO139" i="28"/>
  <c r="AU139" i="28"/>
  <c r="AY139" i="28"/>
  <c r="BB139" i="28"/>
  <c r="AT139" i="28"/>
  <c r="BV139" i="28"/>
  <c r="AP139" i="28"/>
  <c r="BG139" i="28"/>
  <c r="AL139" i="28"/>
  <c r="BR139" i="28"/>
  <c r="S48" i="28" a="1"/>
  <c r="S48" i="28" s="1"/>
  <c r="W48" i="28" a="1"/>
  <c r="W48" i="28" s="1"/>
  <c r="AI139" i="28"/>
  <c r="AV141" i="28"/>
  <c r="BL141" i="28"/>
  <c r="BD141" i="28"/>
  <c r="BJ141" i="28"/>
  <c r="BG141" i="28"/>
  <c r="BK141" i="28"/>
  <c r="BV141" i="28"/>
  <c r="AX141" i="28"/>
  <c r="BQ141" i="28"/>
  <c r="AJ141" i="28"/>
  <c r="U141" i="28" a="1"/>
  <c r="U141" i="28" s="1"/>
  <c r="W141" i="28" a="1"/>
  <c r="W141" i="28" s="1"/>
  <c r="S141" i="28" a="1"/>
  <c r="S141" i="28" s="1"/>
  <c r="BL140" i="28"/>
  <c r="AV140" i="28"/>
  <c r="BD140" i="28"/>
  <c r="BG140" i="28"/>
  <c r="BI140" i="28"/>
  <c r="BB140" i="28"/>
  <c r="BC140" i="28"/>
  <c r="BF140" i="28"/>
  <c r="BJ140" i="28"/>
  <c r="BT140" i="28"/>
  <c r="BD138" i="28"/>
  <c r="BL138" i="28"/>
  <c r="AV138" i="28"/>
  <c r="BB138" i="28"/>
  <c r="E34" i="22"/>
  <c r="M329" i="39" a="1"/>
  <c r="M329" i="39" s="1"/>
  <c r="M308" i="39" a="1"/>
  <c r="M308" i="39" s="1"/>
  <c r="M321" i="39" a="1"/>
  <c r="M321" i="39" s="1"/>
  <c r="M326" i="39" a="1"/>
  <c r="M326" i="39" s="1"/>
  <c r="M208" i="39" a="1"/>
  <c r="M208" i="39" s="1"/>
  <c r="M313" i="39" a="1"/>
  <c r="M313" i="39" s="1"/>
  <c r="M300" i="39" a="1"/>
  <c r="M300" i="39" s="1"/>
  <c r="M318" i="39" a="1"/>
  <c r="M318" i="39" s="1"/>
  <c r="M316" i="39" a="1"/>
  <c r="M316" i="39" s="1"/>
  <c r="M298" i="39" a="1"/>
  <c r="M298" i="39" s="1"/>
  <c r="I296" i="39" a="1"/>
  <c r="I296" i="39" s="1"/>
  <c r="J301" i="39" a="1"/>
  <c r="J301" i="39" s="1"/>
  <c r="I303" i="39" a="1"/>
  <c r="I303" i="39" s="1"/>
  <c r="L306" i="39" a="1"/>
  <c r="L306" i="39" s="1"/>
  <c r="L296" i="39" a="1"/>
  <c r="L296" i="39" s="1"/>
  <c r="K298" i="39" a="1"/>
  <c r="K298" i="39" s="1"/>
  <c r="K300" i="39" a="1"/>
  <c r="K300" i="39" s="1"/>
  <c r="J302" i="39" a="1"/>
  <c r="J302" i="39" s="1"/>
  <c r="H308" i="39" a="1"/>
  <c r="H308" i="39" s="1"/>
  <c r="H310" i="39" a="1"/>
  <c r="H310" i="39" s="1"/>
  <c r="J313" i="39" a="1"/>
  <c r="J313" i="39" s="1"/>
  <c r="I315" i="39" a="1"/>
  <c r="I315" i="39" s="1"/>
  <c r="J320" i="39" a="1"/>
  <c r="J320" i="39" s="1"/>
  <c r="I322" i="39" a="1"/>
  <c r="I322" i="39" s="1"/>
  <c r="J327" i="39" a="1"/>
  <c r="J327" i="39" s="1"/>
  <c r="H331" i="39" a="1"/>
  <c r="H331" i="39" s="1"/>
  <c r="L332" i="39" a="1"/>
  <c r="L332" i="39" s="1"/>
  <c r="H338" i="39" a="1"/>
  <c r="H338" i="39" s="1"/>
  <c r="I343" i="39" a="1"/>
  <c r="I343" i="39" s="1"/>
  <c r="H345" i="39" a="1"/>
  <c r="H345" i="39" s="1"/>
  <c r="L298" i="39" a="1"/>
  <c r="L298" i="39" s="1"/>
  <c r="J304" i="39" a="1"/>
  <c r="J304" i="39" s="1"/>
  <c r="I306" i="39" a="1"/>
  <c r="I306" i="39" s="1"/>
  <c r="L311" i="39" a="1"/>
  <c r="L311" i="39" s="1"/>
  <c r="H317" i="39" a="1"/>
  <c r="H317" i="39" s="1"/>
  <c r="L318" i="39" a="1"/>
  <c r="L318" i="39" s="1"/>
  <c r="H324" i="39" a="1"/>
  <c r="H324" i="39" s="1"/>
  <c r="L325" i="39" a="1"/>
  <c r="L325" i="39" s="1"/>
  <c r="K327" i="39" a="1"/>
  <c r="K327" i="39" s="1"/>
  <c r="J329" i="39" a="1"/>
  <c r="J329" i="39" s="1"/>
  <c r="K334" i="39" a="1"/>
  <c r="K334" i="39" s="1"/>
  <c r="J336" i="39" a="1"/>
  <c r="J336" i="39" s="1"/>
  <c r="L339" i="39" a="1"/>
  <c r="L339" i="39" s="1"/>
  <c r="K341" i="39" a="1"/>
  <c r="K341" i="39" s="1"/>
  <c r="H297" i="39" a="1"/>
  <c r="H297" i="39" s="1"/>
  <c r="L300" i="39" a="1"/>
  <c r="L300" i="39" s="1"/>
  <c r="K302" i="39" a="1"/>
  <c r="K302" i="39" s="1"/>
  <c r="J306" i="39" a="1"/>
  <c r="J306" i="39" s="1"/>
  <c r="I308" i="39" a="1"/>
  <c r="I308" i="39" s="1"/>
  <c r="I310" i="39" a="1"/>
  <c r="I310" i="39" s="1"/>
  <c r="K313" i="39" a="1"/>
  <c r="K313" i="39" s="1"/>
  <c r="J315" i="39" a="1"/>
  <c r="J315" i="39" s="1"/>
  <c r="K320" i="39" a="1"/>
  <c r="K320" i="39" s="1"/>
  <c r="J322" i="39" a="1"/>
  <c r="J322" i="39" s="1"/>
  <c r="H326" i="39" a="1"/>
  <c r="H326" i="39" s="1"/>
  <c r="I331" i="39" a="1"/>
  <c r="I331" i="39" s="1"/>
  <c r="H333" i="39" a="1"/>
  <c r="H333" i="39" s="1"/>
  <c r="I338" i="39" a="1"/>
  <c r="I338" i="39" s="1"/>
  <c r="J343" i="39" a="1"/>
  <c r="J343" i="39" s="1"/>
  <c r="I345" i="39" a="1"/>
  <c r="I345" i="39" s="1"/>
  <c r="I297" i="39" a="1"/>
  <c r="I297" i="39" s="1"/>
  <c r="H299" i="39" a="1"/>
  <c r="H299" i="39" s="1"/>
  <c r="K304" i="39" a="1"/>
  <c r="K304" i="39" s="1"/>
  <c r="J308" i="39" a="1"/>
  <c r="J308" i="39" s="1"/>
  <c r="H312" i="39" a="1"/>
  <c r="H312" i="39" s="1"/>
  <c r="I317" i="39" a="1"/>
  <c r="I317" i="39" s="1"/>
  <c r="H319" i="39" a="1"/>
  <c r="H319" i="39" s="1"/>
  <c r="I324" i="39" a="1"/>
  <c r="I324" i="39" s="1"/>
  <c r="L327" i="39" a="1"/>
  <c r="L327" i="39" s="1"/>
  <c r="K329" i="39" a="1"/>
  <c r="K329" i="39" s="1"/>
  <c r="L334" i="39" a="1"/>
  <c r="L334" i="39" s="1"/>
  <c r="K336" i="39" a="1"/>
  <c r="K336" i="39" s="1"/>
  <c r="H340" i="39" a="1"/>
  <c r="H340" i="39" s="1"/>
  <c r="L341" i="39" a="1"/>
  <c r="L341" i="39" s="1"/>
  <c r="K343" i="39" a="1"/>
  <c r="K343" i="39" s="1"/>
  <c r="H301" i="39" a="1"/>
  <c r="H301" i="39" s="1"/>
  <c r="L302" i="39" a="1"/>
  <c r="L302" i="39" s="1"/>
  <c r="K306" i="39" a="1"/>
  <c r="K306" i="39" s="1"/>
  <c r="K308" i="39" a="1"/>
  <c r="K308" i="39" s="1"/>
  <c r="J310" i="39" a="1"/>
  <c r="J310" i="39" s="1"/>
  <c r="L313" i="39" a="1"/>
  <c r="L313" i="39" s="1"/>
  <c r="K315" i="39" a="1"/>
  <c r="K315" i="39" s="1"/>
  <c r="L320" i="39" a="1"/>
  <c r="L320" i="39" s="1"/>
  <c r="K322" i="39" a="1"/>
  <c r="K322" i="39" s="1"/>
  <c r="J324" i="39" a="1"/>
  <c r="J324" i="39" s="1"/>
  <c r="I326" i="39" a="1"/>
  <c r="I326" i="39" s="1"/>
  <c r="J331" i="39" a="1"/>
  <c r="J331" i="39" s="1"/>
  <c r="I333" i="39" a="1"/>
  <c r="I333" i="39" s="1"/>
  <c r="J338" i="39" a="1"/>
  <c r="J338" i="39" s="1"/>
  <c r="H342" i="39" a="1"/>
  <c r="H342" i="39" s="1"/>
  <c r="J345" i="39" a="1"/>
  <c r="J345" i="39" s="1"/>
  <c r="J297" i="39" a="1"/>
  <c r="J297" i="39" s="1"/>
  <c r="I299" i="39" a="1"/>
  <c r="I299" i="39" s="1"/>
  <c r="H303" i="39" a="1"/>
  <c r="H303" i="39" s="1"/>
  <c r="L304" i="39" a="1"/>
  <c r="L304" i="39" s="1"/>
  <c r="I312" i="39" a="1"/>
  <c r="I312" i="39" s="1"/>
  <c r="J317" i="39" a="1"/>
  <c r="J317" i="39" s="1"/>
  <c r="I319" i="39" a="1"/>
  <c r="I319" i="39" s="1"/>
  <c r="L322" i="39" a="1"/>
  <c r="L322" i="39" s="1"/>
  <c r="H328" i="39" a="1"/>
  <c r="H328" i="39" s="1"/>
  <c r="L329" i="39" a="1"/>
  <c r="L329" i="39" s="1"/>
  <c r="H335" i="39" a="1"/>
  <c r="H335" i="39" s="1"/>
  <c r="L336" i="39" a="1"/>
  <c r="L336" i="39" s="1"/>
  <c r="I340" i="39" a="1"/>
  <c r="I340" i="39" s="1"/>
  <c r="L343" i="39" a="1"/>
  <c r="L343" i="39" s="1"/>
  <c r="K345" i="39" a="1"/>
  <c r="K345" i="39" s="1"/>
  <c r="I301" i="39" a="1"/>
  <c r="I301" i="39" s="1"/>
  <c r="H305" i="39" a="1"/>
  <c r="H305" i="39" s="1"/>
  <c r="H307" i="39" a="1"/>
  <c r="H307" i="39" s="1"/>
  <c r="L308" i="39" a="1"/>
  <c r="L308" i="39" s="1"/>
  <c r="K310" i="39" a="1"/>
  <c r="K310" i="39" s="1"/>
  <c r="H314" i="39" a="1"/>
  <c r="H314" i="39" s="1"/>
  <c r="L315" i="39" a="1"/>
  <c r="L315" i="39" s="1"/>
  <c r="H321" i="39" a="1"/>
  <c r="H321" i="39" s="1"/>
  <c r="K324" i="39" a="1"/>
  <c r="K324" i="39" s="1"/>
  <c r="J326" i="39" a="1"/>
  <c r="J326" i="39" s="1"/>
  <c r="K331" i="39" a="1"/>
  <c r="K331" i="39" s="1"/>
  <c r="J333" i="39" a="1"/>
  <c r="J333" i="39" s="1"/>
  <c r="K338" i="39" a="1"/>
  <c r="K338" i="39" s="1"/>
  <c r="J340" i="39" a="1"/>
  <c r="J340" i="39" s="1"/>
  <c r="I342" i="39" a="1"/>
  <c r="I342" i="39" s="1"/>
  <c r="H344" i="39" a="1"/>
  <c r="H344" i="39" s="1"/>
  <c r="K297" i="39" a="1"/>
  <c r="K297" i="39" s="1"/>
  <c r="J299" i="39" a="1"/>
  <c r="J299" i="39" s="1"/>
  <c r="I305" i="39" a="1"/>
  <c r="I305" i="39" s="1"/>
  <c r="J312" i="39" a="1"/>
  <c r="J312" i="39" s="1"/>
  <c r="K317" i="39" a="1"/>
  <c r="K317" i="39" s="1"/>
  <c r="J319" i="39" a="1"/>
  <c r="J319" i="39" s="1"/>
  <c r="I321" i="39" a="1"/>
  <c r="I321" i="39" s="1"/>
  <c r="H323" i="39" a="1"/>
  <c r="H323" i="39" s="1"/>
  <c r="I328" i="39" a="1"/>
  <c r="I328" i="39" s="1"/>
  <c r="H330" i="39" a="1"/>
  <c r="H330" i="39" s="1"/>
  <c r="I335" i="39" a="1"/>
  <c r="I335" i="39" s="1"/>
  <c r="H337" i="39" a="1"/>
  <c r="H337" i="39" s="1"/>
  <c r="L338" i="39" a="1"/>
  <c r="L338" i="39" s="1"/>
  <c r="K340" i="39" a="1"/>
  <c r="K340" i="39" s="1"/>
  <c r="L345" i="39" a="1"/>
  <c r="L345" i="39" s="1"/>
  <c r="K299" i="39" a="1"/>
  <c r="K299" i="39" s="1"/>
  <c r="J303" i="39" a="1"/>
  <c r="J303" i="39" s="1"/>
  <c r="I307" i="39" a="1"/>
  <c r="I307" i="39" s="1"/>
  <c r="H309" i="39" a="1"/>
  <c r="H309" i="39" s="1"/>
  <c r="L310" i="39" a="1"/>
  <c r="L310" i="39" s="1"/>
  <c r="I314" i="39" a="1"/>
  <c r="I314" i="39" s="1"/>
  <c r="H316" i="39" a="1"/>
  <c r="H316" i="39" s="1"/>
  <c r="K319" i="39" a="1"/>
  <c r="K319" i="39" s="1"/>
  <c r="L324" i="39" a="1"/>
  <c r="L324" i="39" s="1"/>
  <c r="K326" i="39" a="1"/>
  <c r="K326" i="39" s="1"/>
  <c r="L331" i="39" a="1"/>
  <c r="L331" i="39" s="1"/>
  <c r="K333" i="39" a="1"/>
  <c r="K333" i="39" s="1"/>
  <c r="J335" i="39" a="1"/>
  <c r="J335" i="39" s="1"/>
  <c r="I337" i="39" a="1"/>
  <c r="I337" i="39" s="1"/>
  <c r="J342" i="39" a="1"/>
  <c r="J342" i="39" s="1"/>
  <c r="I344" i="39" a="1"/>
  <c r="I344" i="39" s="1"/>
  <c r="L297" i="39" a="1"/>
  <c r="L297" i="39" s="1"/>
  <c r="L299" i="39" a="1"/>
  <c r="L299" i="39" s="1"/>
  <c r="K301" i="39" a="1"/>
  <c r="K301" i="39" s="1"/>
  <c r="K303" i="39" a="1"/>
  <c r="K303" i="39" s="1"/>
  <c r="J305" i="39" a="1"/>
  <c r="J305" i="39" s="1"/>
  <c r="K312" i="39" a="1"/>
  <c r="K312" i="39" s="1"/>
  <c r="L317" i="39" a="1"/>
  <c r="L317" i="39" s="1"/>
  <c r="J321" i="39" a="1"/>
  <c r="J321" i="39" s="1"/>
  <c r="I323" i="39" a="1"/>
  <c r="I323" i="39" s="1"/>
  <c r="J328" i="39" a="1"/>
  <c r="J328" i="39" s="1"/>
  <c r="I330" i="39" a="1"/>
  <c r="I330" i="39" s="1"/>
  <c r="H332" i="39" a="1"/>
  <c r="H332" i="39" s="1"/>
  <c r="K335" i="39" a="1"/>
  <c r="K335" i="39" s="1"/>
  <c r="H339" i="39" a="1"/>
  <c r="H339" i="39" s="1"/>
  <c r="L340" i="39" a="1"/>
  <c r="L340" i="39" s="1"/>
  <c r="L208" i="39" a="1"/>
  <c r="L208" i="39" s="1"/>
  <c r="H296" i="39" a="1"/>
  <c r="H296" i="39" s="1"/>
  <c r="H298" i="39" a="1"/>
  <c r="H298" i="39" s="1"/>
  <c r="J307" i="39" a="1"/>
  <c r="J307" i="39" s="1"/>
  <c r="I309" i="39" a="1"/>
  <c r="I309" i="39" s="1"/>
  <c r="H311" i="39" a="1"/>
  <c r="H311" i="39" s="1"/>
  <c r="J314" i="39" a="1"/>
  <c r="J314" i="39" s="1"/>
  <c r="I316" i="39" a="1"/>
  <c r="I316" i="39" s="1"/>
  <c r="H318" i="39" a="1"/>
  <c r="H318" i="39" s="1"/>
  <c r="L319" i="39" a="1"/>
  <c r="L319" i="39" s="1"/>
  <c r="H325" i="39" a="1"/>
  <c r="H325" i="39" s="1"/>
  <c r="L326" i="39" a="1"/>
  <c r="L326" i="39" s="1"/>
  <c r="K328" i="39" a="1"/>
  <c r="K328" i="39" s="1"/>
  <c r="L333" i="39" a="1"/>
  <c r="L333" i="39" s="1"/>
  <c r="J337" i="39" a="1"/>
  <c r="J337" i="39" s="1"/>
  <c r="K342" i="39" a="1"/>
  <c r="K342" i="39" s="1"/>
  <c r="J344" i="39" a="1"/>
  <c r="J344" i="39" s="1"/>
  <c r="K208" i="39" a="1"/>
  <c r="K208" i="39" s="1"/>
  <c r="H300" i="39" a="1"/>
  <c r="H300" i="39" s="1"/>
  <c r="L301" i="39" a="1"/>
  <c r="L301" i="39" s="1"/>
  <c r="L303" i="39" a="1"/>
  <c r="L303" i="39" s="1"/>
  <c r="K305" i="39" a="1"/>
  <c r="K305" i="39" s="1"/>
  <c r="L312" i="39" a="1"/>
  <c r="L312" i="39" s="1"/>
  <c r="J316" i="39" a="1"/>
  <c r="J316" i="39" s="1"/>
  <c r="K321" i="39" a="1"/>
  <c r="K321" i="39" s="1"/>
  <c r="J323" i="39" a="1"/>
  <c r="J323" i="39" s="1"/>
  <c r="I325" i="39" a="1"/>
  <c r="I325" i="39" s="1"/>
  <c r="J330" i="39" a="1"/>
  <c r="J330" i="39" s="1"/>
  <c r="I332" i="39" a="1"/>
  <c r="I332" i="39" s="1"/>
  <c r="H334" i="39" a="1"/>
  <c r="H334" i="39" s="1"/>
  <c r="L335" i="39" a="1"/>
  <c r="L335" i="39" s="1"/>
  <c r="I339" i="39" a="1"/>
  <c r="I339" i="39" s="1"/>
  <c r="H341" i="39" a="1"/>
  <c r="H341" i="39" s="1"/>
  <c r="J208" i="39" a="1"/>
  <c r="J208" i="39" s="1"/>
  <c r="J296" i="39" a="1"/>
  <c r="J296" i="39" s="1"/>
  <c r="I298" i="39" a="1"/>
  <c r="I298" i="39" s="1"/>
  <c r="H302" i="39" a="1"/>
  <c r="H302" i="39" s="1"/>
  <c r="K307" i="39" a="1"/>
  <c r="K307" i="39" s="1"/>
  <c r="J309" i="39" a="1"/>
  <c r="J309" i="39" s="1"/>
  <c r="I311" i="39" a="1"/>
  <c r="I311" i="39" s="1"/>
  <c r="K314" i="39" a="1"/>
  <c r="K314" i="39" s="1"/>
  <c r="I318" i="39" a="1"/>
  <c r="I318" i="39" s="1"/>
  <c r="H320" i="39" a="1"/>
  <c r="H320" i="39" s="1"/>
  <c r="L321" i="39" a="1"/>
  <c r="L321" i="39" s="1"/>
  <c r="H327" i="39" a="1"/>
  <c r="H327" i="39" s="1"/>
  <c r="L328" i="39" a="1"/>
  <c r="L328" i="39" s="1"/>
  <c r="J332" i="39" a="1"/>
  <c r="J332" i="39" s="1"/>
  <c r="K337" i="39" a="1"/>
  <c r="K337" i="39" s="1"/>
  <c r="L342" i="39" a="1"/>
  <c r="L342" i="39" s="1"/>
  <c r="K344" i="39" a="1"/>
  <c r="K344" i="39" s="1"/>
  <c r="I208" i="39" a="1"/>
  <c r="I208" i="39" s="1"/>
  <c r="I300" i="39" a="1"/>
  <c r="I300" i="39" s="1"/>
  <c r="H304" i="39" a="1"/>
  <c r="H304" i="39" s="1"/>
  <c r="L305" i="39" a="1"/>
  <c r="L305" i="39" s="1"/>
  <c r="H313" i="39" a="1"/>
  <c r="H313" i="39" s="1"/>
  <c r="L314" i="39" a="1"/>
  <c r="L314" i="39" s="1"/>
  <c r="K316" i="39" a="1"/>
  <c r="K316" i="39" s="1"/>
  <c r="J318" i="39" a="1"/>
  <c r="J318" i="39" s="1"/>
  <c r="K323" i="39" a="1"/>
  <c r="K323" i="39" s="1"/>
  <c r="J325" i="39" a="1"/>
  <c r="J325" i="39" s="1"/>
  <c r="K330" i="39" a="1"/>
  <c r="K330" i="39" s="1"/>
  <c r="I334" i="39" a="1"/>
  <c r="I334" i="39" s="1"/>
  <c r="H336" i="39" a="1"/>
  <c r="H336" i="39" s="1"/>
  <c r="J339" i="39" a="1"/>
  <c r="J339" i="39" s="1"/>
  <c r="I341" i="39" a="1"/>
  <c r="I341" i="39" s="1"/>
  <c r="K296" i="39" a="1"/>
  <c r="K296" i="39" s="1"/>
  <c r="J298" i="39" a="1"/>
  <c r="J298" i="39" s="1"/>
  <c r="J300" i="39" a="1"/>
  <c r="J300" i="39" s="1"/>
  <c r="I302" i="39" a="1"/>
  <c r="I302" i="39" s="1"/>
  <c r="L307" i="39" a="1"/>
  <c r="L307" i="39" s="1"/>
  <c r="K309" i="39" a="1"/>
  <c r="K309" i="39" s="1"/>
  <c r="J311" i="39" a="1"/>
  <c r="J311" i="39" s="1"/>
  <c r="I313" i="39" a="1"/>
  <c r="I313" i="39" s="1"/>
  <c r="H315" i="39" a="1"/>
  <c r="H315" i="39" s="1"/>
  <c r="I320" i="39" a="1"/>
  <c r="I320" i="39" s="1"/>
  <c r="H322" i="39" a="1"/>
  <c r="H322" i="39" s="1"/>
  <c r="I327" i="39" a="1"/>
  <c r="I327" i="39" s="1"/>
  <c r="H329" i="39" a="1"/>
  <c r="H329" i="39" s="1"/>
  <c r="L330" i="39" a="1"/>
  <c r="L330" i="39" s="1"/>
  <c r="K332" i="39" a="1"/>
  <c r="K332" i="39" s="1"/>
  <c r="L337" i="39" a="1"/>
  <c r="L337" i="39" s="1"/>
  <c r="H343" i="39" a="1"/>
  <c r="H343" i="39" s="1"/>
  <c r="L344" i="39" a="1"/>
  <c r="L344" i="39" s="1"/>
  <c r="H208" i="39" a="1"/>
  <c r="H208" i="39" s="1"/>
  <c r="I304" i="39" a="1"/>
  <c r="I304" i="39" s="1"/>
  <c r="H306" i="39" a="1"/>
  <c r="H306" i="39" s="1"/>
  <c r="L309" i="39" a="1"/>
  <c r="L309" i="39" s="1"/>
  <c r="K311" i="39" a="1"/>
  <c r="K311" i="39" s="1"/>
  <c r="L316" i="39" a="1"/>
  <c r="L316" i="39" s="1"/>
  <c r="K318" i="39" a="1"/>
  <c r="K318" i="39" s="1"/>
  <c r="L323" i="39" a="1"/>
  <c r="L323" i="39" s="1"/>
  <c r="K325" i="39" a="1"/>
  <c r="K325" i="39" s="1"/>
  <c r="I329" i="39" a="1"/>
  <c r="I329" i="39" s="1"/>
  <c r="J334" i="39" a="1"/>
  <c r="J334" i="39" s="1"/>
  <c r="I336" i="39" a="1"/>
  <c r="I336" i="39" s="1"/>
  <c r="K339" i="39" a="1"/>
  <c r="K339" i="39" s="1"/>
  <c r="J341" i="39" a="1"/>
  <c r="J341" i="39" s="1"/>
  <c r="M312" i="39" a="1"/>
  <c r="M312" i="39" s="1"/>
  <c r="M331" i="39" a="1"/>
  <c r="M331" i="39" s="1"/>
  <c r="M317" i="39" a="1"/>
  <c r="M317" i="39" s="1"/>
  <c r="M322" i="39" a="1"/>
  <c r="M322" i="39" s="1"/>
  <c r="M296" i="39" a="1"/>
  <c r="M296" i="39" s="1"/>
  <c r="E9" i="39"/>
  <c r="J9" i="9"/>
  <c r="F11" i="39"/>
  <c r="M18" i="22"/>
  <c r="I139" i="9" a="1"/>
  <c r="I139" i="9" s="1"/>
  <c r="I140" i="9" a="1"/>
  <c r="I140" i="9" s="1"/>
  <c r="I141" i="9" a="1"/>
  <c r="I141" i="9" s="1"/>
  <c r="I142" i="9" a="1"/>
  <c r="I142" i="9" s="1"/>
  <c r="F34" i="22"/>
  <c r="J25" i="9" a="1"/>
  <c r="J25" i="9" s="1"/>
  <c r="J24" i="9" a="1"/>
  <c r="J24" i="9" s="1"/>
  <c r="M314" i="26" a="1"/>
  <c r="M314" i="26" s="1"/>
  <c r="Y314" i="26" s="1"/>
  <c r="AK314" i="26" s="1"/>
  <c r="M332" i="26" a="1"/>
  <c r="M332" i="26" s="1"/>
  <c r="M348" i="26" a="1"/>
  <c r="M348" i="26" s="1"/>
  <c r="M401" i="26" a="1"/>
  <c r="M401" i="26" s="1"/>
  <c r="M308" i="26" a="1"/>
  <c r="M308" i="26" s="1"/>
  <c r="M328" i="26" a="1"/>
  <c r="M328" i="26" s="1"/>
  <c r="M344" i="26" a="1"/>
  <c r="M344" i="26" s="1"/>
  <c r="M362" i="26" a="1"/>
  <c r="M362" i="26" s="1"/>
  <c r="M386" i="26" a="1"/>
  <c r="M386" i="26" s="1"/>
  <c r="M387" i="26" a="1"/>
  <c r="M387" i="26" s="1"/>
  <c r="M361" i="26" a="1"/>
  <c r="M361" i="26" s="1"/>
  <c r="M351" i="26" a="1"/>
  <c r="M351" i="26" s="1"/>
  <c r="M296" i="26" a="1"/>
  <c r="M296" i="26" s="1"/>
  <c r="M303" i="26" a="1"/>
  <c r="M303" i="26" s="1"/>
  <c r="M323" i="26" a="1"/>
  <c r="M323" i="26" s="1"/>
  <c r="M357" i="26" a="1"/>
  <c r="M357" i="26" s="1"/>
  <c r="M373" i="26" a="1"/>
  <c r="M373" i="26" s="1"/>
  <c r="M399" i="26" a="1"/>
  <c r="M399" i="26" s="1"/>
  <c r="M309" i="26" a="1"/>
  <c r="M309" i="26" s="1"/>
  <c r="M329" i="26" a="1"/>
  <c r="M329" i="26" s="1"/>
  <c r="M345" i="26" a="1"/>
  <c r="M345" i="26" s="1"/>
  <c r="M363" i="26" a="1"/>
  <c r="M363" i="26" s="1"/>
  <c r="M381" i="26" a="1"/>
  <c r="M381" i="26" s="1"/>
  <c r="M327" i="26" a="1"/>
  <c r="M327" i="26" s="1"/>
  <c r="M377" i="26" a="1"/>
  <c r="M377" i="26" s="1"/>
  <c r="M347" i="26" a="1"/>
  <c r="M347" i="26" s="1"/>
  <c r="M372" i="26" a="1"/>
  <c r="M372" i="26" s="1"/>
  <c r="M313" i="26" a="1"/>
  <c r="M313" i="26" s="1"/>
  <c r="M391" i="26" a="1"/>
  <c r="M391" i="26" s="1"/>
  <c r="M315" i="26" a="1"/>
  <c r="M315" i="26" s="1"/>
  <c r="Y315" i="26" s="1"/>
  <c r="AK315" i="26" s="1"/>
  <c r="M337" i="26" a="1"/>
  <c r="M337" i="26" s="1"/>
  <c r="M378" i="26" a="1"/>
  <c r="M378" i="26" s="1"/>
  <c r="M402" i="26" a="1"/>
  <c r="M402" i="26" s="1"/>
  <c r="M336" i="26" a="1"/>
  <c r="M336" i="26" s="1"/>
  <c r="M352" i="26" a="1"/>
  <c r="M352" i="26" s="1"/>
  <c r="M368" i="26" a="1"/>
  <c r="M368" i="26" s="1"/>
  <c r="M392" i="26" a="1"/>
  <c r="M392" i="26" s="1"/>
  <c r="M316" i="26" a="1"/>
  <c r="M316" i="26" s="1"/>
  <c r="Y316" i="26" s="1"/>
  <c r="AK316" i="26" s="1"/>
  <c r="M338" i="26" a="1"/>
  <c r="M338" i="26" s="1"/>
  <c r="M379" i="26" a="1"/>
  <c r="M379" i="26" s="1"/>
  <c r="M304" i="26" a="1"/>
  <c r="M304" i="26" s="1"/>
  <c r="M324" i="26" a="1"/>
  <c r="M324" i="26" s="1"/>
  <c r="M358" i="26" a="1"/>
  <c r="M358" i="26" s="1"/>
  <c r="M374" i="26" a="1"/>
  <c r="M374" i="26" s="1"/>
  <c r="M400" i="26" a="1"/>
  <c r="M400" i="26" s="1"/>
  <c r="M353" i="26" a="1"/>
  <c r="M353" i="26" s="1"/>
  <c r="M369" i="26" a="1"/>
  <c r="M369" i="26" s="1"/>
  <c r="M393" i="26" a="1"/>
  <c r="M393" i="26" s="1"/>
  <c r="M307" i="26" a="1"/>
  <c r="M307" i="26" s="1"/>
  <c r="M335" i="26" a="1"/>
  <c r="M335" i="26" s="1"/>
  <c r="M317" i="26" a="1"/>
  <c r="M317" i="26" s="1"/>
  <c r="Y317" i="26" s="1"/>
  <c r="AK317" i="26" s="1"/>
  <c r="M339" i="26" a="1"/>
  <c r="M339" i="26" s="1"/>
  <c r="M380" i="26" a="1"/>
  <c r="M380" i="26" s="1"/>
  <c r="M310" i="26" a="1"/>
  <c r="M310" i="26" s="1"/>
  <c r="M318" i="26" a="1"/>
  <c r="M318" i="26" s="1"/>
  <c r="M364" i="26" a="1"/>
  <c r="M364" i="26" s="1"/>
  <c r="M382" i="26" a="1"/>
  <c r="M382" i="26" s="1"/>
  <c r="M388" i="26" a="1"/>
  <c r="M388" i="26" s="1"/>
  <c r="M340" i="26" a="1"/>
  <c r="M340" i="26" s="1"/>
  <c r="M354" i="26" a="1"/>
  <c r="M354" i="26" s="1"/>
  <c r="M370" i="26" a="1"/>
  <c r="M370" i="26" s="1"/>
  <c r="M343" i="26" a="1"/>
  <c r="M343" i="26" s="1"/>
  <c r="M300" i="26" a="1"/>
  <c r="M300" i="26" s="1"/>
  <c r="M331" i="26" a="1"/>
  <c r="M331" i="26" s="1"/>
  <c r="M396" i="26" a="1"/>
  <c r="M396" i="26" s="1"/>
  <c r="M302" i="26" a="1"/>
  <c r="M302" i="26" s="1"/>
  <c r="M356" i="26" a="1"/>
  <c r="M356" i="26" s="1"/>
  <c r="M398" i="26" a="1"/>
  <c r="M398" i="26" s="1"/>
  <c r="M367" i="26" a="1"/>
  <c r="M367" i="26" s="1"/>
  <c r="M297" i="26" a="1"/>
  <c r="M297" i="26" s="1"/>
  <c r="M305" i="26" a="1"/>
  <c r="M305" i="26" s="1"/>
  <c r="M325" i="26" a="1"/>
  <c r="M325" i="26" s="1"/>
  <c r="M359" i="26" a="1"/>
  <c r="M359" i="26" s="1"/>
  <c r="M375" i="26" a="1"/>
  <c r="M375" i="26" s="1"/>
  <c r="M385" i="26" a="1"/>
  <c r="M385" i="26" s="1"/>
  <c r="M321" i="26" a="1"/>
  <c r="M321" i="26" s="1"/>
  <c r="M311" i="26" a="1"/>
  <c r="M311" i="26" s="1"/>
  <c r="M319" i="26" a="1"/>
  <c r="M319" i="26" s="1"/>
  <c r="M333" i="26" a="1"/>
  <c r="M333" i="26" s="1"/>
  <c r="M349" i="26" a="1"/>
  <c r="M349" i="26" s="1"/>
  <c r="M365" i="26" a="1"/>
  <c r="M365" i="26" s="1"/>
  <c r="M383" i="26" a="1"/>
  <c r="M383" i="26" s="1"/>
  <c r="M389" i="26" a="1"/>
  <c r="M389" i="26" s="1"/>
  <c r="M322" i="26" a="1"/>
  <c r="M322" i="26" s="1"/>
  <c r="M341" i="26" a="1"/>
  <c r="M341" i="26" s="1"/>
  <c r="M394" i="26" a="1"/>
  <c r="M394" i="26" s="1"/>
  <c r="M306" i="26" a="1"/>
  <c r="M306" i="26" s="1"/>
  <c r="M326" i="26" a="1"/>
  <c r="M326" i="26" s="1"/>
  <c r="M342" i="26" a="1"/>
  <c r="M342" i="26" s="1"/>
  <c r="M360" i="26" a="1"/>
  <c r="M360" i="26" s="1"/>
  <c r="M376" i="26" a="1"/>
  <c r="M376" i="26" s="1"/>
  <c r="M298" i="26" a="1"/>
  <c r="M298" i="26" s="1"/>
  <c r="M301" i="26" a="1"/>
  <c r="M301" i="26" s="1"/>
  <c r="M355" i="26" a="1"/>
  <c r="M355" i="26" s="1"/>
  <c r="M371" i="26" a="1"/>
  <c r="M371" i="26" s="1"/>
  <c r="M397" i="26" a="1"/>
  <c r="M397" i="26" s="1"/>
  <c r="M299" i="26" a="1"/>
  <c r="M299" i="26" s="1"/>
  <c r="M330" i="26" a="1"/>
  <c r="M330" i="26" s="1"/>
  <c r="M346" i="26" a="1"/>
  <c r="M346" i="26" s="1"/>
  <c r="M395" i="26" a="1"/>
  <c r="M395" i="26" s="1"/>
  <c r="M312" i="26" a="1"/>
  <c r="M312" i="26" s="1"/>
  <c r="M320" i="26" a="1"/>
  <c r="M320" i="26" s="1"/>
  <c r="M334" i="26" a="1"/>
  <c r="M334" i="26" s="1"/>
  <c r="M350" i="26" a="1"/>
  <c r="M350" i="26" s="1"/>
  <c r="M366" i="26" a="1"/>
  <c r="M366" i="26" s="1"/>
  <c r="M384" i="26" a="1"/>
  <c r="M384" i="26" s="1"/>
  <c r="M390" i="26" a="1"/>
  <c r="M390" i="26" s="1"/>
  <c r="G398" i="26" l="1" a="1"/>
  <c r="G398" i="26" s="1"/>
  <c r="G402" i="26" a="1"/>
  <c r="G402" i="26" s="1"/>
  <c r="G350" i="26" a="1"/>
  <c r="G350" i="26" s="1"/>
  <c r="G358" i="26" a="1"/>
  <c r="G358" i="26" s="1"/>
  <c r="G371" i="26" a="1"/>
  <c r="G371" i="26" s="1"/>
  <c r="G389" i="26" a="1"/>
  <c r="G389" i="26" s="1"/>
  <c r="G370" i="26" a="1"/>
  <c r="G370" i="26" s="1"/>
  <c r="G318" i="26" a="1"/>
  <c r="G318" i="26" s="1"/>
  <c r="G380" i="26" a="1"/>
  <c r="G380" i="26" s="1"/>
  <c r="G399" i="26" a="1"/>
  <c r="G399" i="26" s="1"/>
  <c r="G407" i="26" a="1"/>
  <c r="G407" i="26" s="1"/>
  <c r="G378" i="26" a="1"/>
  <c r="G378" i="26" s="1"/>
  <c r="G298" i="26" a="1"/>
  <c r="G298" i="26" s="1"/>
  <c r="G357" i="26" a="1"/>
  <c r="G357" i="26" s="1"/>
  <c r="G321" i="26" a="1"/>
  <c r="G321" i="26" s="1"/>
  <c r="G315" i="26" a="1"/>
  <c r="G315" i="26" s="1"/>
  <c r="G302" i="26" a="1"/>
  <c r="G302" i="26" s="1"/>
  <c r="G307" i="26" a="1"/>
  <c r="G307" i="26" s="1"/>
  <c r="G383" i="26" a="1"/>
  <c r="G383" i="26" s="1"/>
  <c r="G359" i="26" a="1"/>
  <c r="G359" i="26" s="1"/>
  <c r="G340" i="26" a="1"/>
  <c r="G340" i="26" s="1"/>
  <c r="G395" i="26" a="1"/>
  <c r="G395" i="26" s="1"/>
  <c r="G303" i="26" a="1"/>
  <c r="G303" i="26" s="1"/>
  <c r="G388" i="26" a="1"/>
  <c r="G388" i="26" s="1"/>
  <c r="G305" i="26" a="1"/>
  <c r="G305" i="26" s="1"/>
  <c r="G355" i="26" a="1"/>
  <c r="G355" i="26" s="1"/>
  <c r="G351" i="26" a="1"/>
  <c r="G351" i="26" s="1"/>
  <c r="G319" i="26" a="1"/>
  <c r="G319" i="26" s="1"/>
  <c r="G385" i="26" a="1"/>
  <c r="G385" i="26" s="1"/>
  <c r="G386" i="26" a="1"/>
  <c r="G386" i="26" s="1"/>
  <c r="G376" i="26" a="1"/>
  <c r="G376" i="26" s="1"/>
  <c r="G394" i="26" a="1"/>
  <c r="G394" i="26" s="1"/>
  <c r="G337" i="26" a="1"/>
  <c r="G337" i="26" s="1"/>
  <c r="G345" i="26" a="1"/>
  <c r="G345" i="26" s="1"/>
  <c r="G404" i="26" a="1"/>
  <c r="G404" i="26" s="1"/>
  <c r="G313" i="26" a="1"/>
  <c r="G313" i="26" s="1"/>
  <c r="G343" i="26" a="1"/>
  <c r="G343" i="26" s="1"/>
  <c r="G352" i="26" a="1"/>
  <c r="G352" i="26" s="1"/>
  <c r="G314" i="26" a="1"/>
  <c r="G314" i="26" s="1"/>
  <c r="G316" i="26" a="1"/>
  <c r="G316" i="26" s="1"/>
  <c r="G330" i="26" a="1"/>
  <c r="G330" i="26" s="1"/>
  <c r="G322" i="26" a="1"/>
  <c r="G322" i="26" s="1"/>
  <c r="G300" i="26" a="1"/>
  <c r="G300" i="26" s="1"/>
  <c r="G311" i="26" a="1"/>
  <c r="G311" i="26" s="1"/>
  <c r="G331" i="26" a="1"/>
  <c r="G331" i="26" s="1"/>
  <c r="G354" i="26" a="1"/>
  <c r="G354" i="26" s="1"/>
  <c r="G375" i="26" a="1"/>
  <c r="G375" i="26" s="1"/>
  <c r="H24" i="9" a="1"/>
  <c r="H24" i="9" s="1"/>
  <c r="R301" i="26" a="1"/>
  <c r="R301" i="26" s="1"/>
  <c r="R248" i="26" a="1"/>
  <c r="R248" i="26" s="1"/>
  <c r="R240" i="26" a="1"/>
  <c r="R240" i="26" s="1"/>
  <c r="R318" i="26" a="1"/>
  <c r="R318" i="26" s="1"/>
  <c r="R239" i="26" a="1"/>
  <c r="R239" i="26" s="1"/>
  <c r="R231" i="26" a="1"/>
  <c r="R231" i="26" s="1"/>
  <c r="R309" i="26" a="1"/>
  <c r="R309" i="26" s="1"/>
  <c r="R297" i="26" a="1"/>
  <c r="R297" i="26" s="1"/>
  <c r="R280" i="26" a="1"/>
  <c r="R280" i="26" s="1"/>
  <c r="R268" i="26" a="1"/>
  <c r="R268" i="26" s="1"/>
  <c r="R258" i="26" a="1"/>
  <c r="R258" i="26" s="1"/>
  <c r="R305" i="26" a="1"/>
  <c r="R305" i="26" s="1"/>
  <c r="R272" i="26" a="1"/>
  <c r="R272" i="26" s="1"/>
  <c r="R363" i="26" a="1"/>
  <c r="R363" i="26" s="1"/>
  <c r="R293" i="26" a="1"/>
  <c r="R293" i="26" s="1"/>
  <c r="R242" i="26" a="1"/>
  <c r="R242" i="26" s="1"/>
  <c r="R332" i="26" a="1"/>
  <c r="R332" i="26" s="1"/>
  <c r="R284" i="26" a="1"/>
  <c r="R284" i="26" s="1"/>
  <c r="R264" i="26" a="1"/>
  <c r="R264" i="26" s="1"/>
  <c r="R350" i="26" a="1"/>
  <c r="R350" i="26" s="1"/>
  <c r="R317" i="26" a="1"/>
  <c r="R317" i="26" s="1"/>
  <c r="R282" i="26" a="1"/>
  <c r="R282" i="26" s="1"/>
  <c r="R348" i="26" a="1"/>
  <c r="R348" i="26" s="1"/>
  <c r="R226" i="26" a="1"/>
  <c r="R226" i="26" s="1"/>
  <c r="R324" i="26" a="1"/>
  <c r="R324" i="26" s="1"/>
  <c r="R308" i="26" a="1"/>
  <c r="R308" i="26" s="1"/>
  <c r="R256" i="26" a="1"/>
  <c r="R256" i="26" s="1"/>
  <c r="R289" i="26" a="1"/>
  <c r="R289" i="26" s="1"/>
  <c r="R355" i="26" a="1"/>
  <c r="R355" i="26" s="1"/>
  <c r="R281" i="26" a="1"/>
  <c r="R281" i="26" s="1"/>
  <c r="R210" i="26" a="1"/>
  <c r="R210" i="26" s="1"/>
  <c r="R277" i="26" a="1"/>
  <c r="R277" i="26" s="1"/>
  <c r="R347" i="26" a="1"/>
  <c r="R347" i="26" s="1"/>
  <c r="R273" i="26" a="1"/>
  <c r="R273" i="26" s="1"/>
  <c r="R339" i="26" a="1"/>
  <c r="R339" i="26" s="1"/>
  <c r="R375" i="26" a="1"/>
  <c r="R375" i="26" s="1"/>
  <c r="R326" i="26" a="1"/>
  <c r="R326" i="26" s="1"/>
  <c r="R306" i="26" a="1"/>
  <c r="R306" i="26" s="1"/>
  <c r="R367" i="26" a="1"/>
  <c r="R367" i="26" s="1"/>
  <c r="R323" i="26" a="1"/>
  <c r="R323" i="26" s="1"/>
  <c r="R274" i="26" a="1"/>
  <c r="R274" i="26" s="1"/>
  <c r="R359" i="26" a="1"/>
  <c r="R359" i="26" s="1"/>
  <c r="R294" i="26" a="1"/>
  <c r="R294" i="26" s="1"/>
  <c r="R218" i="26" a="1"/>
  <c r="R218" i="26" s="1"/>
  <c r="R271" i="26" a="1"/>
  <c r="R271" i="26" s="1"/>
  <c r="R270" i="26" a="1"/>
  <c r="R270" i="26" s="1"/>
  <c r="R384" i="26" a="1"/>
  <c r="R384" i="26" s="1"/>
  <c r="R263" i="26" a="1"/>
  <c r="R263" i="26" s="1"/>
  <c r="R262" i="26" a="1"/>
  <c r="R262" i="26" s="1"/>
  <c r="R322" i="26" a="1"/>
  <c r="R322" i="26" s="1"/>
  <c r="R376" i="26" a="1"/>
  <c r="R376" i="26" s="1"/>
  <c r="R255" i="26" a="1"/>
  <c r="R255" i="26" s="1"/>
  <c r="R380" i="26" a="1"/>
  <c r="R380" i="26" s="1"/>
  <c r="R211" i="26" a="1"/>
  <c r="R211" i="26" s="1"/>
  <c r="R234" i="26" a="1"/>
  <c r="R234" i="26" s="1"/>
  <c r="R285" i="26" a="1"/>
  <c r="R285" i="26" s="1"/>
  <c r="R383" i="26" a="1"/>
  <c r="R383" i="26" s="1"/>
  <c r="R342" i="26" a="1"/>
  <c r="R342" i="26" s="1"/>
  <c r="R265" i="26" a="1"/>
  <c r="R265" i="26" s="1"/>
  <c r="R331" i="26" a="1"/>
  <c r="R331" i="26" s="1"/>
  <c r="R310" i="26" a="1"/>
  <c r="R310" i="26" s="1"/>
  <c r="R235" i="26" a="1"/>
  <c r="R235" i="26" s="1"/>
  <c r="R227" i="26" a="1"/>
  <c r="R227" i="26" s="1"/>
  <c r="R219" i="26" a="1"/>
  <c r="R219" i="26" s="1"/>
  <c r="R298" i="26" a="1"/>
  <c r="R298" i="26" s="1"/>
  <c r="R368" i="26" a="1"/>
  <c r="R368" i="26" s="1"/>
  <c r="R247" i="26" a="1"/>
  <c r="R247" i="26" s="1"/>
  <c r="R364" i="26" a="1"/>
  <c r="R364" i="26" s="1"/>
  <c r="R374" i="26" a="1"/>
  <c r="R374" i="26" s="1"/>
  <c r="R385" i="26" a="1"/>
  <c r="R385" i="26" s="1"/>
  <c r="R360" i="26" a="1"/>
  <c r="R360" i="26" s="1"/>
  <c r="R351" i="26" a="1"/>
  <c r="R351" i="26" s="1"/>
  <c r="R315" i="26" a="1"/>
  <c r="R315" i="26" s="1"/>
  <c r="R377" i="26" a="1"/>
  <c r="R377" i="26" s="1"/>
  <c r="R215" i="26" a="1"/>
  <c r="R215" i="26" s="1"/>
  <c r="R307" i="26" a="1"/>
  <c r="R307" i="26" s="1"/>
  <c r="R369" i="26" a="1"/>
  <c r="R369" i="26" s="1"/>
  <c r="R335" i="26" a="1"/>
  <c r="R335" i="26" s="1"/>
  <c r="R222" i="26" a="1"/>
  <c r="R222" i="26" s="1"/>
  <c r="R299" i="26" a="1"/>
  <c r="R299" i="26" s="1"/>
  <c r="R361" i="26" a="1"/>
  <c r="R361" i="26" s="1"/>
  <c r="R336" i="26" a="1"/>
  <c r="R336" i="26" s="1"/>
  <c r="R386" i="26" a="1"/>
  <c r="R386" i="26" s="1"/>
  <c r="R327" i="26" a="1"/>
  <c r="R327" i="26" s="1"/>
  <c r="R373" i="26" a="1"/>
  <c r="R373" i="26" s="1"/>
  <c r="R245" i="26" a="1"/>
  <c r="R245" i="26" s="1"/>
  <c r="R214" i="26" a="1"/>
  <c r="R214" i="26" s="1"/>
  <c r="R353" i="26" a="1"/>
  <c r="R353" i="26" s="1"/>
  <c r="R225" i="26" a="1"/>
  <c r="R225" i="26" s="1"/>
  <c r="R328" i="26" a="1"/>
  <c r="R328" i="26" s="1"/>
  <c r="R362" i="26" a="1"/>
  <c r="R362" i="26" s="1"/>
  <c r="R319" i="26" a="1"/>
  <c r="R319" i="26" s="1"/>
  <c r="R365" i="26" a="1"/>
  <c r="R365" i="26" s="1"/>
  <c r="R237" i="26" a="1"/>
  <c r="R237" i="26" s="1"/>
  <c r="R276" i="26" a="1"/>
  <c r="R276" i="26" s="1"/>
  <c r="R236" i="26" a="1"/>
  <c r="R236" i="26" s="1"/>
  <c r="R283" i="26" a="1"/>
  <c r="R283" i="26" s="1"/>
  <c r="R372" i="26" a="1"/>
  <c r="R372" i="26" s="1"/>
  <c r="R208" i="26" a="1"/>
  <c r="R208" i="26" s="1"/>
  <c r="R209" i="26" a="1"/>
  <c r="R209" i="26" s="1"/>
  <c r="R314" i="26" a="1"/>
  <c r="R314" i="26" s="1"/>
  <c r="R303" i="26" a="1"/>
  <c r="R303" i="26" s="1"/>
  <c r="R349" i="26" a="1"/>
  <c r="R349" i="26" s="1"/>
  <c r="R221" i="26" a="1"/>
  <c r="R221" i="26" s="1"/>
  <c r="R340" i="26" a="1"/>
  <c r="R340" i="26" s="1"/>
  <c r="R238" i="26" a="1"/>
  <c r="R238" i="26" s="1"/>
  <c r="R224" i="26" a="1"/>
  <c r="R224" i="26" s="1"/>
  <c r="R344" i="26" a="1"/>
  <c r="R344" i="26" s="1"/>
  <c r="R381" i="26" a="1"/>
  <c r="R381" i="26" s="1"/>
  <c r="R246" i="26" a="1"/>
  <c r="R246" i="26" s="1"/>
  <c r="R233" i="26" a="1"/>
  <c r="R233" i="26" s="1"/>
  <c r="R291" i="26" a="1"/>
  <c r="R291" i="26" s="1"/>
  <c r="R217" i="26" a="1"/>
  <c r="R217" i="26" s="1"/>
  <c r="R275" i="26" a="1"/>
  <c r="R275" i="26" s="1"/>
  <c r="R337" i="26" a="1"/>
  <c r="R337" i="26" s="1"/>
  <c r="R267" i="26" a="1"/>
  <c r="R267" i="26" s="1"/>
  <c r="R329" i="26" a="1"/>
  <c r="R329" i="26" s="1"/>
  <c r="R378" i="26" a="1"/>
  <c r="R378" i="26" s="1"/>
  <c r="R304" i="26" a="1"/>
  <c r="R304" i="26" s="1"/>
  <c r="R290" i="26" a="1"/>
  <c r="R290" i="26" s="1"/>
  <c r="R295" i="26" a="1"/>
  <c r="R295" i="26" s="1"/>
  <c r="R341" i="26" a="1"/>
  <c r="R341" i="26" s="1"/>
  <c r="R213" i="26" a="1"/>
  <c r="R213" i="26" s="1"/>
  <c r="R302" i="26" a="1"/>
  <c r="R302" i="26" s="1"/>
  <c r="R387" i="26" a="1"/>
  <c r="R387" i="26" s="1"/>
  <c r="R259" i="26" a="1"/>
  <c r="R259" i="26" s="1"/>
  <c r="R316" i="26" a="1"/>
  <c r="R316" i="26" s="1"/>
  <c r="R232" i="26" a="1"/>
  <c r="R232" i="26" s="1"/>
  <c r="R223" i="26" a="1"/>
  <c r="R223" i="26" s="1"/>
  <c r="R269" i="26" a="1"/>
  <c r="R269" i="26" s="1"/>
  <c r="R352" i="26" a="1"/>
  <c r="R352" i="26" s="1"/>
  <c r="R343" i="26" a="1"/>
  <c r="R343" i="26" s="1"/>
  <c r="R230" i="26" a="1"/>
  <c r="R230" i="26" s="1"/>
  <c r="R216" i="26" a="1"/>
  <c r="R216" i="26" s="1"/>
  <c r="R252" i="26" a="1"/>
  <c r="R252" i="26" s="1"/>
  <c r="R244" i="26" a="1"/>
  <c r="R244" i="26" s="1"/>
  <c r="R320" i="26" a="1"/>
  <c r="R320" i="26" s="1"/>
  <c r="R311" i="26" a="1"/>
  <c r="R311" i="26" s="1"/>
  <c r="R357" i="26" a="1"/>
  <c r="R357" i="26" s="1"/>
  <c r="R228" i="26" a="1"/>
  <c r="R228" i="26" s="1"/>
  <c r="R312" i="26" a="1"/>
  <c r="R312" i="26" s="1"/>
  <c r="R212" i="26" a="1"/>
  <c r="R212" i="26" s="1"/>
  <c r="R370" i="26" a="1"/>
  <c r="R370" i="26" s="1"/>
  <c r="R321" i="26" a="1"/>
  <c r="R321" i="26" s="1"/>
  <c r="R354" i="26" a="1"/>
  <c r="R354" i="26" s="1"/>
  <c r="R296" i="26" a="1"/>
  <c r="R296" i="26" s="1"/>
  <c r="R266" i="26" a="1"/>
  <c r="R266" i="26" s="1"/>
  <c r="R287" i="26" a="1"/>
  <c r="R287" i="26" s="1"/>
  <c r="R333" i="26" a="1"/>
  <c r="R333" i="26" s="1"/>
  <c r="R382" i="26" a="1"/>
  <c r="R382" i="26" s="1"/>
  <c r="R278" i="26" a="1"/>
  <c r="R278" i="26" s="1"/>
  <c r="R379" i="26" a="1"/>
  <c r="R379" i="26" s="1"/>
  <c r="R251" i="26" a="1"/>
  <c r="R251" i="26" s="1"/>
  <c r="R300" i="26" a="1"/>
  <c r="R300" i="26" s="1"/>
  <c r="R257" i="26" a="1"/>
  <c r="R257" i="26" s="1"/>
  <c r="R292" i="26" a="1"/>
  <c r="R292" i="26" s="1"/>
  <c r="R249" i="26" a="1"/>
  <c r="R249" i="26" s="1"/>
  <c r="R261" i="26" a="1"/>
  <c r="R261" i="26" s="1"/>
  <c r="R286" i="26" a="1"/>
  <c r="R286" i="26" s="1"/>
  <c r="R241" i="26" a="1"/>
  <c r="R241" i="26" s="1"/>
  <c r="R253" i="26" a="1"/>
  <c r="R253" i="26" s="1"/>
  <c r="R345" i="26" a="1"/>
  <c r="R345" i="26" s="1"/>
  <c r="R338" i="26" a="1"/>
  <c r="R338" i="26" s="1"/>
  <c r="R229" i="26" a="1"/>
  <c r="R229" i="26" s="1"/>
  <c r="R366" i="26" a="1"/>
  <c r="R366" i="26" s="1"/>
  <c r="R356" i="26" a="1"/>
  <c r="R356" i="26" s="1"/>
  <c r="R334" i="26" a="1"/>
  <c r="R334" i="26" s="1"/>
  <c r="R346" i="26" a="1"/>
  <c r="R346" i="26" s="1"/>
  <c r="R313" i="26" a="1"/>
  <c r="R313" i="26" s="1"/>
  <c r="R330" i="26" a="1"/>
  <c r="R330" i="26" s="1"/>
  <c r="R288" i="26" a="1"/>
  <c r="R288" i="26" s="1"/>
  <c r="R250" i="26" a="1"/>
  <c r="R250" i="26" s="1"/>
  <c r="R279" i="26" a="1"/>
  <c r="R279" i="26" s="1"/>
  <c r="R325" i="26" a="1"/>
  <c r="R325" i="26" s="1"/>
  <c r="R358" i="26" a="1"/>
  <c r="R358" i="26" s="1"/>
  <c r="R254" i="26" a="1"/>
  <c r="R254" i="26" s="1"/>
  <c r="R371" i="26" a="1"/>
  <c r="R371" i="26" s="1"/>
  <c r="R243" i="26" a="1"/>
  <c r="R243" i="26" s="1"/>
  <c r="E11" i="39"/>
  <c r="AA10" i="39" s="1" a="1"/>
  <c r="AA10" i="39" s="1"/>
  <c r="E10" i="39"/>
  <c r="F10" i="39"/>
  <c r="F12" i="39"/>
  <c r="AC11" i="39" s="1" a="1"/>
  <c r="AC11" i="39" s="1"/>
  <c r="F311" i="26" a="1"/>
  <c r="F311" i="26" s="1"/>
  <c r="F367" i="26" a="1"/>
  <c r="F367" i="26" s="1"/>
  <c r="F388" i="26" a="1"/>
  <c r="F388" i="26" s="1"/>
  <c r="F348" i="26" a="1"/>
  <c r="F348" i="26" s="1"/>
  <c r="F361" i="26" a="1"/>
  <c r="F361" i="26" s="1"/>
  <c r="F397" i="26" a="1"/>
  <c r="F397" i="26" s="1"/>
  <c r="F6" i="39"/>
  <c r="AC4" i="39" s="1" a="1"/>
  <c r="AC4" i="39" s="1"/>
  <c r="Y297" i="26"/>
  <c r="AK297" i="26" s="1"/>
  <c r="Y302" i="26"/>
  <c r="AK302" i="26" s="1"/>
  <c r="Y299" i="26"/>
  <c r="AK299" i="26" s="1"/>
  <c r="Y307" i="26"/>
  <c r="AK307" i="26" s="1"/>
  <c r="AD52" i="9"/>
  <c r="Y312" i="26"/>
  <c r="AK312" i="26" s="1"/>
  <c r="Y300" i="26"/>
  <c r="AK300" i="26" s="1"/>
  <c r="L20" i="9" a="1"/>
  <c r="L20" i="9" s="1"/>
  <c r="F52" i="9"/>
  <c r="Y305" i="26"/>
  <c r="AK305" i="26" s="1"/>
  <c r="Y311" i="26"/>
  <c r="AK311" i="26" s="1"/>
  <c r="Y296" i="26"/>
  <c r="AK296" i="26" s="1"/>
  <c r="Y310" i="26"/>
  <c r="AK310" i="26" s="1"/>
  <c r="Y309" i="26"/>
  <c r="AK309" i="26" s="1"/>
  <c r="Y298" i="26"/>
  <c r="AK298" i="26" s="1"/>
  <c r="Y313" i="26"/>
  <c r="AK313" i="26" s="1"/>
  <c r="F51" i="9"/>
  <c r="Y306" i="26"/>
  <c r="AK306" i="26" s="1"/>
  <c r="AE209" i="26" a="1"/>
  <c r="AE209" i="26" s="1"/>
  <c r="AE218" i="26" a="1"/>
  <c r="AE218" i="26" s="1"/>
  <c r="AE235" i="26" a="1"/>
  <c r="AE235" i="26" s="1"/>
  <c r="AE252" i="26" a="1"/>
  <c r="AE252" i="26" s="1"/>
  <c r="AE269" i="26" a="1"/>
  <c r="AE269" i="26" s="1"/>
  <c r="AE286" i="26" a="1"/>
  <c r="AE286" i="26" s="1"/>
  <c r="AE303" i="26" a="1"/>
  <c r="AE303" i="26" s="1"/>
  <c r="AE228" i="26" a="1"/>
  <c r="AE228" i="26" s="1"/>
  <c r="AE210" i="26" a="1"/>
  <c r="AE210" i="26" s="1"/>
  <c r="AE227" i="26" a="1"/>
  <c r="AE227" i="26" s="1"/>
  <c r="AE244" i="26" a="1"/>
  <c r="AE244" i="26" s="1"/>
  <c r="AE261" i="26" a="1"/>
  <c r="AE261" i="26" s="1"/>
  <c r="AE278" i="26" a="1"/>
  <c r="AE278" i="26" s="1"/>
  <c r="AE295" i="26" a="1"/>
  <c r="AE295" i="26" s="1"/>
  <c r="AE219" i="26" a="1"/>
  <c r="AE219" i="26" s="1"/>
  <c r="AE236" i="26" a="1"/>
  <c r="AE236" i="26" s="1"/>
  <c r="AE253" i="26" a="1"/>
  <c r="AE253" i="26" s="1"/>
  <c r="AE270" i="26" a="1"/>
  <c r="AE270" i="26" s="1"/>
  <c r="AE287" i="26" a="1"/>
  <c r="AE287" i="26" s="1"/>
  <c r="AE304" i="26" a="1"/>
  <c r="AE304" i="26" s="1"/>
  <c r="AE211" i="26" a="1"/>
  <c r="AE211" i="26" s="1"/>
  <c r="AE296" i="26" a="1"/>
  <c r="AE296" i="26" s="1"/>
  <c r="AE220" i="26" a="1"/>
  <c r="AE220" i="26" s="1"/>
  <c r="AE237" i="26" a="1"/>
  <c r="AE237" i="26" s="1"/>
  <c r="AE254" i="26" a="1"/>
  <c r="AE254" i="26" s="1"/>
  <c r="AE271" i="26" a="1"/>
  <c r="AE271" i="26" s="1"/>
  <c r="AE288" i="26" a="1"/>
  <c r="AE288" i="26" s="1"/>
  <c r="AE305" i="26" a="1"/>
  <c r="AE305" i="26" s="1"/>
  <c r="AE212" i="26" a="1"/>
  <c r="AE212" i="26" s="1"/>
  <c r="AE229" i="26" a="1"/>
  <c r="AE229" i="26" s="1"/>
  <c r="AE246" i="26" a="1"/>
  <c r="AE246" i="26" s="1"/>
  <c r="AE263" i="26" a="1"/>
  <c r="AE263" i="26" s="1"/>
  <c r="AE280" i="26" a="1"/>
  <c r="AE280" i="26" s="1"/>
  <c r="AE297" i="26" a="1"/>
  <c r="AE297" i="26" s="1"/>
  <c r="AE306" i="26" a="1"/>
  <c r="AE306" i="26" s="1"/>
  <c r="AE214" i="26" a="1"/>
  <c r="AE214" i="26" s="1"/>
  <c r="AE231" i="26" a="1"/>
  <c r="AE231" i="26" s="1"/>
  <c r="AE248" i="26" a="1"/>
  <c r="AE248" i="26" s="1"/>
  <c r="AE265" i="26" a="1"/>
  <c r="AE265" i="26" s="1"/>
  <c r="AE274" i="26" a="1"/>
  <c r="AE274" i="26" s="1"/>
  <c r="AE291" i="26" a="1"/>
  <c r="AE291" i="26" s="1"/>
  <c r="AE308" i="26" a="1"/>
  <c r="AE308" i="26" s="1"/>
  <c r="AE223" i="26" a="1"/>
  <c r="AE223" i="26" s="1"/>
  <c r="AE240" i="26" a="1"/>
  <c r="AE240" i="26" s="1"/>
  <c r="AE257" i="26" a="1"/>
  <c r="AE257" i="26" s="1"/>
  <c r="AE266" i="26" a="1"/>
  <c r="AE266" i="26" s="1"/>
  <c r="AE283" i="26" a="1"/>
  <c r="AE283" i="26" s="1"/>
  <c r="AE300" i="26" a="1"/>
  <c r="AE300" i="26" s="1"/>
  <c r="AE215" i="26" a="1"/>
  <c r="AE215" i="26" s="1"/>
  <c r="AE232" i="26" a="1"/>
  <c r="AE232" i="26" s="1"/>
  <c r="AE249" i="26" a="1"/>
  <c r="AE249" i="26" s="1"/>
  <c r="AE258" i="26" a="1"/>
  <c r="AE258" i="26" s="1"/>
  <c r="AE275" i="26" a="1"/>
  <c r="AE275" i="26" s="1"/>
  <c r="AE292" i="26" a="1"/>
  <c r="AE292" i="26" s="1"/>
  <c r="AE208" i="26" a="1"/>
  <c r="AE208" i="26" s="1"/>
  <c r="AE224" i="26" a="1"/>
  <c r="AE224" i="26" s="1"/>
  <c r="AE241" i="26" a="1"/>
  <c r="AE241" i="26" s="1"/>
  <c r="AE250" i="26" a="1"/>
  <c r="AE250" i="26" s="1"/>
  <c r="AE267" i="26" a="1"/>
  <c r="AE267" i="26" s="1"/>
  <c r="AE284" i="26" a="1"/>
  <c r="AE284" i="26" s="1"/>
  <c r="AE301" i="26" a="1"/>
  <c r="AE301" i="26" s="1"/>
  <c r="AE279" i="26" a="1"/>
  <c r="AE279" i="26" s="1"/>
  <c r="AE216" i="26" a="1"/>
  <c r="AE216" i="26" s="1"/>
  <c r="AE233" i="26" a="1"/>
  <c r="AE233" i="26" s="1"/>
  <c r="AE242" i="26" a="1"/>
  <c r="AE242" i="26" s="1"/>
  <c r="AE259" i="26" a="1"/>
  <c r="AE259" i="26" s="1"/>
  <c r="AE276" i="26" a="1"/>
  <c r="AE276" i="26" s="1"/>
  <c r="AE293" i="26" a="1"/>
  <c r="AE293" i="26" s="1"/>
  <c r="AE262" i="26" a="1"/>
  <c r="AE262" i="26" s="1"/>
  <c r="AE225" i="26" a="1"/>
  <c r="AE225" i="26" s="1"/>
  <c r="AE234" i="26" a="1"/>
  <c r="AE234" i="26" s="1"/>
  <c r="AE251" i="26" a="1"/>
  <c r="AE251" i="26" s="1"/>
  <c r="AE268" i="26" a="1"/>
  <c r="AE268" i="26" s="1"/>
  <c r="AE285" i="26" a="1"/>
  <c r="AE285" i="26" s="1"/>
  <c r="AE302" i="26" a="1"/>
  <c r="AE302" i="26" s="1"/>
  <c r="AE217" i="26" a="1"/>
  <c r="AE217" i="26" s="1"/>
  <c r="AE226" i="26" a="1"/>
  <c r="AE226" i="26" s="1"/>
  <c r="AE243" i="26" a="1"/>
  <c r="AE243" i="26" s="1"/>
  <c r="AE260" i="26" a="1"/>
  <c r="AE260" i="26" s="1"/>
  <c r="AE277" i="26" a="1"/>
  <c r="AE277" i="26" s="1"/>
  <c r="AE294" i="26" a="1"/>
  <c r="AE294" i="26" s="1"/>
  <c r="AE290" i="26" a="1"/>
  <c r="AE290" i="26" s="1"/>
  <c r="AE256" i="26" a="1"/>
  <c r="AE256" i="26" s="1"/>
  <c r="AE307" i="26" a="1"/>
  <c r="AE307" i="26" s="1"/>
  <c r="AE213" i="26" a="1"/>
  <c r="AE213" i="26" s="1"/>
  <c r="AE255" i="26" a="1"/>
  <c r="AE255" i="26" s="1"/>
  <c r="AE221" i="26" a="1"/>
  <c r="AE221" i="26" s="1"/>
  <c r="AE230" i="26" a="1"/>
  <c r="AE230" i="26" s="1"/>
  <c r="AE298" i="26" a="1"/>
  <c r="AE298" i="26" s="1"/>
  <c r="AE272" i="26" a="1"/>
  <c r="AE272" i="26" s="1"/>
  <c r="AE299" i="26" a="1"/>
  <c r="AE299" i="26" s="1"/>
  <c r="AE222" i="26" a="1"/>
  <c r="AE222" i="26" s="1"/>
  <c r="AE264" i="26" a="1"/>
  <c r="AE264" i="26" s="1"/>
  <c r="AE238" i="26" a="1"/>
  <c r="AE238" i="26" s="1"/>
  <c r="AE273" i="26" a="1"/>
  <c r="AE273" i="26" s="1"/>
  <c r="AE289" i="26" a="1"/>
  <c r="AE289" i="26" s="1"/>
  <c r="AE239" i="26" a="1"/>
  <c r="AE239" i="26" s="1"/>
  <c r="AE245" i="26" a="1"/>
  <c r="AE245" i="26" s="1"/>
  <c r="AE281" i="26" a="1"/>
  <c r="AE281" i="26" s="1"/>
  <c r="AE282" i="26" a="1"/>
  <c r="AE282" i="26" s="1"/>
  <c r="AE247" i="26" a="1"/>
  <c r="AE247" i="26" s="1"/>
  <c r="Y301" i="26"/>
  <c r="AK301" i="26" s="1"/>
  <c r="Y308" i="26"/>
  <c r="AK308" i="26" s="1"/>
  <c r="Y303" i="26"/>
  <c r="AK303" i="26" s="1"/>
  <c r="Y304" i="26"/>
  <c r="AK304" i="26" s="1"/>
  <c r="L19" i="9" a="1"/>
  <c r="L19" i="9" s="1"/>
  <c r="K51" i="9" s="1"/>
  <c r="S389" i="26" a="1"/>
  <c r="S389" i="26" s="1"/>
  <c r="S370" i="26" a="1"/>
  <c r="S370" i="26" s="1"/>
  <c r="S308" i="26" a="1"/>
  <c r="S308" i="26" s="1"/>
  <c r="S365" i="26" a="1"/>
  <c r="S365" i="26" s="1"/>
  <c r="S243" i="26" a="1"/>
  <c r="S243" i="26" s="1"/>
  <c r="S361" i="26" a="1"/>
  <c r="S361" i="26" s="1"/>
  <c r="S351" i="26" a="1"/>
  <c r="S351" i="26" s="1"/>
  <c r="S391" i="26" a="1"/>
  <c r="S391" i="26" s="1"/>
  <c r="S398" i="26" a="1"/>
  <c r="S398" i="26" s="1"/>
  <c r="S226" i="26" a="1"/>
  <c r="S226" i="26" s="1"/>
  <c r="S274" i="26" a="1"/>
  <c r="S274" i="26" s="1"/>
  <c r="S331" i="26" a="1"/>
  <c r="S331" i="26" s="1"/>
  <c r="S217" i="26" a="1"/>
  <c r="S217" i="26" s="1"/>
  <c r="S208" i="26" a="1"/>
  <c r="S208" i="26" s="1"/>
  <c r="S265" i="26" a="1"/>
  <c r="S265" i="26" s="1"/>
  <c r="S357" i="26" a="1"/>
  <c r="S357" i="26" s="1"/>
  <c r="S314" i="26" a="1"/>
  <c r="S314" i="26" s="1"/>
  <c r="S364" i="26" a="1"/>
  <c r="S364" i="26" s="1"/>
  <c r="S252" i="26" a="1"/>
  <c r="S252" i="26" s="1"/>
  <c r="S327" i="26" a="1"/>
  <c r="S327" i="26" s="1"/>
  <c r="S230" i="26" a="1"/>
  <c r="S230" i="26" s="1"/>
  <c r="S305" i="26" a="1"/>
  <c r="S305" i="26" s="1"/>
  <c r="S235" i="26" a="1"/>
  <c r="S235" i="26" s="1"/>
  <c r="S283" i="26" a="1"/>
  <c r="S283" i="26" s="1"/>
  <c r="S323" i="26" a="1"/>
  <c r="S323" i="26" s="1"/>
  <c r="S330" i="26" a="1"/>
  <c r="S330" i="26" s="1"/>
  <c r="S362" i="26" a="1"/>
  <c r="S362" i="26" s="1"/>
  <c r="S266" i="26" a="1"/>
  <c r="S266" i="26" s="1"/>
  <c r="S271" i="26" a="1"/>
  <c r="S271" i="26" s="1"/>
  <c r="S278" i="26" a="1"/>
  <c r="S278" i="26" s="1"/>
  <c r="S293" i="26" a="1"/>
  <c r="S293" i="26" s="1"/>
  <c r="S401" i="26" a="1"/>
  <c r="S401" i="26" s="1"/>
  <c r="S254" i="26" a="1"/>
  <c r="S254" i="26" s="1"/>
  <c r="S261" i="26" a="1"/>
  <c r="S261" i="26" s="1"/>
  <c r="S395" i="26" a="1"/>
  <c r="S395" i="26" s="1"/>
  <c r="S384" i="26" a="1"/>
  <c r="S384" i="26" s="1"/>
  <c r="S237" i="26" a="1"/>
  <c r="S237" i="26" s="1"/>
  <c r="S244" i="26" a="1"/>
  <c r="S244" i="26" s="1"/>
  <c r="S309" i="26" a="1"/>
  <c r="S309" i="26" s="1"/>
  <c r="S332" i="26" a="1"/>
  <c r="S332" i="26" s="1"/>
  <c r="S375" i="26" a="1"/>
  <c r="S375" i="26" s="1"/>
  <c r="S227" i="26" a="1"/>
  <c r="S227" i="26" s="1"/>
  <c r="S369" i="26" a="1"/>
  <c r="S369" i="26" s="1"/>
  <c r="S397" i="26" a="1"/>
  <c r="S397" i="26" s="1"/>
  <c r="S393" i="26" a="1"/>
  <c r="S393" i="26" s="1"/>
  <c r="S298" i="26" a="1"/>
  <c r="S298" i="26" s="1"/>
  <c r="S341" i="26" a="1"/>
  <c r="S341" i="26" s="1"/>
  <c r="S268" i="26" a="1"/>
  <c r="S268" i="26" s="1"/>
  <c r="S276" i="26" a="1"/>
  <c r="S276" i="26" s="1"/>
  <c r="S335" i="26" a="1"/>
  <c r="S335" i="26" s="1"/>
  <c r="S249" i="26" a="1"/>
  <c r="S249" i="26" s="1"/>
  <c r="S376" i="26" a="1"/>
  <c r="S376" i="26" s="1"/>
  <c r="S316" i="26" a="1"/>
  <c r="S316" i="26" s="1"/>
  <c r="S289" i="26" a="1"/>
  <c r="S289" i="26" s="1"/>
  <c r="S212" i="26" a="1"/>
  <c r="S212" i="26" s="1"/>
  <c r="S356" i="26" a="1"/>
  <c r="S356" i="26" s="1"/>
  <c r="S324" i="26" a="1"/>
  <c r="S324" i="26" s="1"/>
  <c r="S219" i="26" a="1"/>
  <c r="S219" i="26" s="1"/>
  <c r="S363" i="26" a="1"/>
  <c r="S363" i="26" s="1"/>
  <c r="S311" i="26" a="1"/>
  <c r="S311" i="26" s="1"/>
  <c r="S251" i="26" a="1"/>
  <c r="S251" i="26" s="1"/>
  <c r="S242" i="26" a="1"/>
  <c r="S242" i="26" s="1"/>
  <c r="S385" i="26" a="1"/>
  <c r="S385" i="26" s="1"/>
  <c r="S273" i="26" a="1"/>
  <c r="S273" i="26" s="1"/>
  <c r="S382" i="26" a="1"/>
  <c r="S382" i="26" s="1"/>
  <c r="S281" i="26" a="1"/>
  <c r="S281" i="26" s="1"/>
  <c r="S320" i="26" a="1"/>
  <c r="S320" i="26" s="1"/>
  <c r="S368" i="26" a="1"/>
  <c r="S368" i="26" s="1"/>
  <c r="S221" i="26" a="1"/>
  <c r="S221" i="26" s="1"/>
  <c r="S264" i="26" a="1"/>
  <c r="S264" i="26" s="1"/>
  <c r="S372" i="26" a="1"/>
  <c r="S372" i="26" s="1"/>
  <c r="S241" i="26" a="1"/>
  <c r="S241" i="26" s="1"/>
  <c r="S239" i="26" a="1"/>
  <c r="S239" i="26" s="1"/>
  <c r="S348" i="26" a="1"/>
  <c r="S348" i="26" s="1"/>
  <c r="S286" i="26" a="1"/>
  <c r="S286" i="26" s="1"/>
  <c r="S216" i="26" a="1"/>
  <c r="S216" i="26" s="1"/>
  <c r="S222" i="26" a="1"/>
  <c r="S222" i="26" s="1"/>
  <c r="S262" i="26" a="1"/>
  <c r="S262" i="26" s="1"/>
  <c r="S269" i="26" a="1"/>
  <c r="S269" i="26" s="1"/>
  <c r="S344" i="26" a="1"/>
  <c r="S344" i="26" s="1"/>
  <c r="S317" i="26" a="1"/>
  <c r="S317" i="26" s="1"/>
  <c r="S213" i="26" a="1"/>
  <c r="S213" i="26" s="1"/>
  <c r="S245" i="26" a="1"/>
  <c r="S245" i="26" s="1"/>
  <c r="S396" i="26" a="1"/>
  <c r="S396" i="26" s="1"/>
  <c r="S386" i="26" a="1"/>
  <c r="S386" i="26" s="1"/>
  <c r="S300" i="26" a="1"/>
  <c r="S300" i="26" s="1"/>
  <c r="S340" i="26" a="1"/>
  <c r="S340" i="26" s="1"/>
  <c r="S347" i="26" a="1"/>
  <c r="S347" i="26" s="1"/>
  <c r="S312" i="26" a="1"/>
  <c r="S312" i="26" s="1"/>
  <c r="S233" i="26" a="1"/>
  <c r="S233" i="26" s="1"/>
  <c r="S231" i="26" a="1"/>
  <c r="S231" i="26" s="1"/>
  <c r="S288" i="26" a="1"/>
  <c r="S288" i="26" s="1"/>
  <c r="S295" i="26" a="1"/>
  <c r="S295" i="26" s="1"/>
  <c r="S310" i="26" a="1"/>
  <c r="S310" i="26" s="1"/>
  <c r="S214" i="26" a="1"/>
  <c r="S214" i="26" s="1"/>
  <c r="S306" i="26" a="1"/>
  <c r="S306" i="26" s="1"/>
  <c r="S321" i="26" a="1"/>
  <c r="S321" i="26" s="1"/>
  <c r="S209" i="26" a="1"/>
  <c r="S209" i="26" s="1"/>
  <c r="S343" i="26" a="1"/>
  <c r="S343" i="26" s="1"/>
  <c r="S366" i="26" a="1"/>
  <c r="S366" i="26" s="1"/>
  <c r="S275" i="26" a="1"/>
  <c r="S275" i="26" s="1"/>
  <c r="S336" i="26" a="1"/>
  <c r="S336" i="26" s="1"/>
  <c r="S326" i="26" a="1"/>
  <c r="S326" i="26" s="1"/>
  <c r="S349" i="26" a="1"/>
  <c r="S349" i="26" s="1"/>
  <c r="S392" i="26" a="1"/>
  <c r="S392" i="26" s="1"/>
  <c r="S319" i="26" a="1"/>
  <c r="S319" i="26" s="1"/>
  <c r="S378" i="26" a="1"/>
  <c r="S378" i="26" s="1"/>
  <c r="S367" i="26" a="1"/>
  <c r="S367" i="26" s="1"/>
  <c r="S263" i="26" a="1"/>
  <c r="S263" i="26" s="1"/>
  <c r="S270" i="26" a="1"/>
  <c r="S270" i="26" s="1"/>
  <c r="S354" i="26" a="1"/>
  <c r="S354" i="26" s="1"/>
  <c r="S292" i="26" a="1"/>
  <c r="S292" i="26" s="1"/>
  <c r="S350" i="26" a="1"/>
  <c r="S350" i="26" s="1"/>
  <c r="S246" i="26" a="1"/>
  <c r="S246" i="26" s="1"/>
  <c r="S358" i="26" a="1"/>
  <c r="S358" i="26" s="1"/>
  <c r="S285" i="26" a="1"/>
  <c r="S285" i="26" s="1"/>
  <c r="S352" i="26" a="1"/>
  <c r="S352" i="26" s="1"/>
  <c r="S333" i="26" a="1"/>
  <c r="S333" i="26" s="1"/>
  <c r="S373" i="26" a="1"/>
  <c r="S373" i="26" s="1"/>
  <c r="S380" i="26" a="1"/>
  <c r="S380" i="26" s="1"/>
  <c r="S259" i="26" a="1"/>
  <c r="S259" i="26" s="1"/>
  <c r="S301" i="26" a="1"/>
  <c r="S301" i="26" s="1"/>
  <c r="S215" i="26" a="1"/>
  <c r="S215" i="26" s="1"/>
  <c r="S359" i="26" a="1"/>
  <c r="S359" i="26" s="1"/>
  <c r="S299" i="26" a="1"/>
  <c r="S299" i="26" s="1"/>
  <c r="S272" i="26" a="1"/>
  <c r="S272" i="26" s="1"/>
  <c r="S247" i="26" a="1"/>
  <c r="S247" i="26" s="1"/>
  <c r="S339" i="26" a="1"/>
  <c r="S339" i="26" s="1"/>
  <c r="S307" i="26" a="1"/>
  <c r="S307" i="26" s="1"/>
  <c r="S210" i="26" a="1"/>
  <c r="S210" i="26" s="1"/>
  <c r="S346" i="26" a="1"/>
  <c r="S346" i="26" s="1"/>
  <c r="S294" i="26" a="1"/>
  <c r="S294" i="26" s="1"/>
  <c r="S234" i="26" a="1"/>
  <c r="S234" i="26" s="1"/>
  <c r="S267" i="26" a="1"/>
  <c r="S267" i="26" s="1"/>
  <c r="S325" i="26" a="1"/>
  <c r="S325" i="26" s="1"/>
  <c r="S238" i="26" a="1"/>
  <c r="S238" i="26" s="1"/>
  <c r="S313" i="26" a="1"/>
  <c r="S313" i="26" s="1"/>
  <c r="S260" i="26" a="1"/>
  <c r="S260" i="26" s="1"/>
  <c r="S250" i="26" a="1"/>
  <c r="S250" i="26" s="1"/>
  <c r="S256" i="26" a="1"/>
  <c r="S256" i="26" s="1"/>
  <c r="S296" i="26" a="1"/>
  <c r="S296" i="26" s="1"/>
  <c r="S303" i="26" a="1"/>
  <c r="S303" i="26" s="1"/>
  <c r="S291" i="26" a="1"/>
  <c r="S291" i="26" s="1"/>
  <c r="S279" i="26" a="1"/>
  <c r="S279" i="26" s="1"/>
  <c r="S355" i="26" a="1"/>
  <c r="S355" i="26" s="1"/>
  <c r="S224" i="26" a="1"/>
  <c r="S224" i="26" s="1"/>
  <c r="S334" i="26" a="1"/>
  <c r="S334" i="26" s="1"/>
  <c r="S374" i="26" a="1"/>
  <c r="S374" i="26" s="1"/>
  <c r="S381" i="26" a="1"/>
  <c r="S381" i="26" s="1"/>
  <c r="S338" i="26" a="1"/>
  <c r="S338" i="26" s="1"/>
  <c r="S329" i="26" a="1"/>
  <c r="S329" i="26" s="1"/>
  <c r="S248" i="26" a="1"/>
  <c r="S248" i="26" s="1"/>
  <c r="S228" i="26" a="1"/>
  <c r="S228" i="26" s="1"/>
  <c r="S379" i="26" a="1"/>
  <c r="S379" i="26" s="1"/>
  <c r="S377" i="26" a="1"/>
  <c r="S377" i="26" s="1"/>
  <c r="S400" i="26" a="1"/>
  <c r="S400" i="26" s="1"/>
  <c r="S211" i="26" a="1"/>
  <c r="S211" i="26" s="1"/>
  <c r="S218" i="26" a="1"/>
  <c r="S218" i="26" s="1"/>
  <c r="S360" i="26" a="1"/>
  <c r="S360" i="26" s="1"/>
  <c r="S383" i="26" a="1"/>
  <c r="S383" i="26" s="1"/>
  <c r="S318" i="26" a="1"/>
  <c r="S318" i="26" s="1"/>
  <c r="S353" i="26" a="1"/>
  <c r="S353" i="26" s="1"/>
  <c r="S257" i="26" a="1"/>
  <c r="S257" i="26" s="1"/>
  <c r="S297" i="26" a="1"/>
  <c r="S297" i="26" s="1"/>
  <c r="S304" i="26" a="1"/>
  <c r="S304" i="26" s="1"/>
  <c r="S388" i="26" a="1"/>
  <c r="S388" i="26" s="1"/>
  <c r="S240" i="26" a="1"/>
  <c r="S240" i="26" s="1"/>
  <c r="S280" i="26" a="1"/>
  <c r="S280" i="26" s="1"/>
  <c r="S287" i="26" a="1"/>
  <c r="S287" i="26" s="1"/>
  <c r="S371" i="26" a="1"/>
  <c r="S371" i="26" s="1"/>
  <c r="S223" i="26" a="1"/>
  <c r="S223" i="26" s="1"/>
  <c r="S220" i="26" a="1"/>
  <c r="S220" i="26" s="1"/>
  <c r="S302" i="26" a="1"/>
  <c r="S302" i="26" s="1"/>
  <c r="S402" i="26" a="1"/>
  <c r="S402" i="26" s="1"/>
  <c r="S315" i="26" a="1"/>
  <c r="S315" i="26" s="1"/>
  <c r="S390" i="26" a="1"/>
  <c r="S390" i="26" s="1"/>
  <c r="S253" i="26" a="1"/>
  <c r="S253" i="26" s="1"/>
  <c r="S345" i="26" a="1"/>
  <c r="S345" i="26" s="1"/>
  <c r="S258" i="26" a="1"/>
  <c r="S258" i="26" s="1"/>
  <c r="S229" i="26" a="1"/>
  <c r="S229" i="26" s="1"/>
  <c r="S236" i="26" a="1"/>
  <c r="S236" i="26" s="1"/>
  <c r="S328" i="26" a="1"/>
  <c r="S328" i="26" s="1"/>
  <c r="S387" i="26" a="1"/>
  <c r="S387" i="26" s="1"/>
  <c r="S284" i="26" a="1"/>
  <c r="S284" i="26" s="1"/>
  <c r="S394" i="26" a="1"/>
  <c r="S394" i="26" s="1"/>
  <c r="S342" i="26" a="1"/>
  <c r="S342" i="26" s="1"/>
  <c r="S282" i="26" a="1"/>
  <c r="S282" i="26" s="1"/>
  <c r="S255" i="26" a="1"/>
  <c r="S255" i="26" s="1"/>
  <c r="S399" i="26" a="1"/>
  <c r="S399" i="26" s="1"/>
  <c r="S322" i="26" a="1"/>
  <c r="S322" i="26" s="1"/>
  <c r="S290" i="26" a="1"/>
  <c r="S290" i="26" s="1"/>
  <c r="S232" i="26" a="1"/>
  <c r="S232" i="26" s="1"/>
  <c r="S337" i="26" a="1"/>
  <c r="S337" i="26" s="1"/>
  <c r="S277" i="26" a="1"/>
  <c r="S277" i="26" s="1"/>
  <c r="G396" i="26" a="1"/>
  <c r="G396" i="26" s="1"/>
  <c r="G397" i="26" a="1"/>
  <c r="G397" i="26" s="1"/>
  <c r="G366" i="26" a="1"/>
  <c r="G366" i="26" s="1"/>
  <c r="G377" i="26" a="1"/>
  <c r="G377" i="26" s="1"/>
  <c r="G326" i="26" a="1"/>
  <c r="G326" i="26" s="1"/>
  <c r="G360" i="26" a="1"/>
  <c r="G360" i="26" s="1"/>
  <c r="G346" i="26" a="1"/>
  <c r="G346" i="26" s="1"/>
  <c r="G406" i="26" a="1"/>
  <c r="G406" i="26" s="1"/>
  <c r="G387" i="26" a="1"/>
  <c r="G387" i="26" s="1"/>
  <c r="G324" i="26" a="1"/>
  <c r="G324" i="26" s="1"/>
  <c r="G373" i="26" a="1"/>
  <c r="G373" i="26" s="1"/>
  <c r="G299" i="26" a="1"/>
  <c r="G299" i="26" s="1"/>
  <c r="G339" i="26" a="1"/>
  <c r="G339" i="26" s="1"/>
  <c r="G327" i="26" a="1"/>
  <c r="G327" i="26" s="1"/>
  <c r="G338" i="26" a="1"/>
  <c r="G338" i="26" s="1"/>
  <c r="G342" i="26" a="1"/>
  <c r="G342" i="26" s="1"/>
  <c r="G332" i="26" a="1"/>
  <c r="G332" i="26" s="1"/>
  <c r="G391" i="26" a="1"/>
  <c r="G391" i="26" s="1"/>
  <c r="G372" i="26" a="1"/>
  <c r="G372" i="26" s="1"/>
  <c r="G401" i="26" a="1"/>
  <c r="G401" i="26" s="1"/>
  <c r="G384" i="26" a="1"/>
  <c r="G384" i="26" s="1"/>
  <c r="G297" i="26" a="1"/>
  <c r="G297" i="26" s="1"/>
  <c r="G347" i="26" a="1"/>
  <c r="G347" i="26" s="1"/>
  <c r="G323" i="26" a="1"/>
  <c r="G323" i="26" s="1"/>
  <c r="G329" i="26" a="1"/>
  <c r="G329" i="26" s="1"/>
  <c r="G336" i="26" a="1"/>
  <c r="G336" i="26" s="1"/>
  <c r="G381" i="26" a="1"/>
  <c r="G381" i="26" s="1"/>
  <c r="G368" i="26" a="1"/>
  <c r="G368" i="26" s="1"/>
  <c r="G335" i="26" a="1"/>
  <c r="G335" i="26" s="1"/>
  <c r="G333" i="26" a="1"/>
  <c r="G333" i="26" s="1"/>
  <c r="G334" i="26" a="1"/>
  <c r="G334" i="26" s="1"/>
  <c r="F9" i="39"/>
  <c r="AC7" i="39" s="1" a="1"/>
  <c r="AC7" i="39" s="1"/>
  <c r="AA7" i="39" a="1"/>
  <c r="AA7" i="39" s="1"/>
  <c r="G392" i="26" a="1"/>
  <c r="G392" i="26" s="1"/>
  <c r="G296" i="26" a="1"/>
  <c r="G296" i="26" s="1"/>
  <c r="G369" i="26" a="1"/>
  <c r="G369" i="26" s="1"/>
  <c r="G361" i="26" a="1"/>
  <c r="G361" i="26" s="1"/>
  <c r="G367" i="26" a="1"/>
  <c r="G367" i="26" s="1"/>
  <c r="G306" i="26" a="1"/>
  <c r="G306" i="26" s="1"/>
  <c r="G309" i="26" a="1"/>
  <c r="G309" i="26" s="1"/>
  <c r="G390" i="26" a="1"/>
  <c r="G390" i="26" s="1"/>
  <c r="G344" i="26" a="1"/>
  <c r="G344" i="26" s="1"/>
  <c r="G328" i="26" a="1"/>
  <c r="G328" i="26" s="1"/>
  <c r="G320" i="26" a="1"/>
  <c r="G320" i="26" s="1"/>
  <c r="G208" i="26" a="1"/>
  <c r="G208" i="26" s="1"/>
  <c r="G209" i="26" a="1"/>
  <c r="G209" i="26" s="1"/>
  <c r="G356" i="26" a="1"/>
  <c r="G356" i="26" s="1"/>
  <c r="G325" i="26" a="1"/>
  <c r="G325" i="26" s="1"/>
  <c r="G365" i="26" a="1"/>
  <c r="G365" i="26" s="1"/>
  <c r="G374" i="26" a="1"/>
  <c r="G374" i="26" s="1"/>
  <c r="G317" i="26" a="1"/>
  <c r="G317" i="26" s="1"/>
  <c r="G379" i="26" a="1"/>
  <c r="G379" i="26" s="1"/>
  <c r="G304" i="26" a="1"/>
  <c r="G304" i="26" s="1"/>
  <c r="AA11" i="39" a="1"/>
  <c r="AA11" i="39" s="1"/>
  <c r="E5" i="39"/>
  <c r="J22" i="9" a="1"/>
  <c r="J22" i="9" s="1"/>
  <c r="I9" i="9"/>
  <c r="H22" i="9" s="1" a="1"/>
  <c r="H22" i="9" s="1"/>
  <c r="I8" i="9"/>
  <c r="E7" i="39"/>
  <c r="AA6" i="39" s="1" a="1"/>
  <c r="AA6" i="39" s="1"/>
  <c r="J8" i="9"/>
  <c r="J20" i="9" s="1" a="1"/>
  <c r="J20" i="9" s="1"/>
  <c r="J6" i="9"/>
  <c r="J19" i="9" s="1" a="1"/>
  <c r="J19" i="9" s="1"/>
  <c r="AL52" i="9" s="1"/>
  <c r="E6" i="39"/>
  <c r="I7" i="9"/>
  <c r="E14" i="39"/>
  <c r="AA12" i="39" s="1" a="1"/>
  <c r="AA12" i="39" s="1"/>
  <c r="I13" i="9"/>
  <c r="H25" i="9" s="1" a="1"/>
  <c r="H25" i="9" s="1"/>
  <c r="M304" i="39" a="1"/>
  <c r="M304" i="39" s="1"/>
  <c r="M333" i="39" a="1"/>
  <c r="M333" i="39" s="1"/>
  <c r="M323" i="39" a="1"/>
  <c r="M323" i="39" s="1"/>
  <c r="M311" i="39" a="1"/>
  <c r="M311" i="39" s="1"/>
  <c r="M325" i="39" a="1"/>
  <c r="M325" i="39" s="1"/>
  <c r="R388" i="26" a="1"/>
  <c r="R388" i="26" s="1"/>
  <c r="M320" i="39" a="1"/>
  <c r="M320" i="39" s="1"/>
  <c r="M315" i="39" a="1"/>
  <c r="M315" i="39" s="1"/>
  <c r="M307" i="39" a="1"/>
  <c r="M307" i="39" s="1"/>
  <c r="M297" i="39" a="1"/>
  <c r="M297" i="39" s="1"/>
  <c r="M302" i="39" a="1"/>
  <c r="M302" i="39" s="1"/>
  <c r="M306" i="39" a="1"/>
  <c r="M306" i="39" s="1"/>
  <c r="M332" i="39" a="1"/>
  <c r="M332" i="39" s="1"/>
  <c r="M324" i="39" a="1"/>
  <c r="M324" i="39" s="1"/>
  <c r="M334" i="39" a="1"/>
  <c r="M334" i="39" s="1"/>
  <c r="R389" i="26" a="1"/>
  <c r="R389" i="26" s="1"/>
  <c r="M305" i="39" a="1"/>
  <c r="M305" i="39" s="1"/>
  <c r="M328" i="39" a="1"/>
  <c r="M328" i="39" s="1"/>
  <c r="M327" i="39" a="1"/>
  <c r="M327" i="39" s="1"/>
  <c r="M299" i="39" a="1"/>
  <c r="M299" i="39" s="1"/>
  <c r="M319" i="39" a="1"/>
  <c r="M319" i="39" s="1"/>
  <c r="M330" i="39" a="1"/>
  <c r="M330" i="39" s="1"/>
  <c r="M301" i="39" a="1"/>
  <c r="M301" i="39" s="1"/>
  <c r="M303" i="39" a="1"/>
  <c r="M303" i="39" s="1"/>
  <c r="M310" i="39" a="1"/>
  <c r="M310" i="39" s="1"/>
  <c r="M314" i="39" a="1"/>
  <c r="M314" i="39" s="1"/>
  <c r="S405" i="26" a="1"/>
  <c r="S405" i="26" s="1"/>
  <c r="S403" i="26" a="1"/>
  <c r="S403" i="26" s="1"/>
  <c r="S404" i="26" a="1"/>
  <c r="S404" i="26" s="1"/>
  <c r="F327" i="26" a="1"/>
  <c r="F327" i="26" s="1"/>
  <c r="F389" i="26" a="1"/>
  <c r="F389" i="26" s="1"/>
  <c r="F390" i="26" a="1"/>
  <c r="F390" i="26" s="1"/>
  <c r="F344" i="26" a="1"/>
  <c r="F344" i="26" s="1"/>
  <c r="F328" i="26" a="1"/>
  <c r="F328" i="26" s="1"/>
  <c r="F394" i="26" a="1"/>
  <c r="F394" i="26" s="1"/>
  <c r="F337" i="26" a="1"/>
  <c r="F337" i="26" s="1"/>
  <c r="F343" i="26" a="1"/>
  <c r="F343" i="26" s="1"/>
  <c r="F414" i="26" a="1"/>
  <c r="F414" i="26" s="1"/>
  <c r="F342" i="26" a="1"/>
  <c r="F342" i="26" s="1"/>
  <c r="F368" i="26" a="1"/>
  <c r="F368" i="26" s="1"/>
  <c r="F347" i="26" a="1"/>
  <c r="F347" i="26" s="1"/>
  <c r="F333" i="26" a="1"/>
  <c r="F333" i="26" s="1"/>
  <c r="F320" i="26" a="1"/>
  <c r="F320" i="26" s="1"/>
  <c r="F393" i="26" a="1"/>
  <c r="F393" i="26" s="1"/>
  <c r="F321" i="26" a="1"/>
  <c r="F321" i="26" s="1"/>
  <c r="F387" i="26" a="1"/>
  <c r="F387" i="26" s="1"/>
  <c r="F357" i="26" a="1"/>
  <c r="F357" i="26" s="1"/>
  <c r="F346" i="26" a="1"/>
  <c r="F346" i="26" s="1"/>
  <c r="F329" i="26" a="1"/>
  <c r="F329" i="26" s="1"/>
  <c r="F299" i="26" a="1"/>
  <c r="F299" i="26" s="1"/>
  <c r="F303" i="26" a="1"/>
  <c r="F303" i="26" s="1"/>
  <c r="F384" i="26" a="1"/>
  <c r="F384" i="26" s="1"/>
  <c r="F351" i="26" a="1"/>
  <c r="F351" i="26" s="1"/>
  <c r="F339" i="26" a="1"/>
  <c r="F339" i="26" s="1"/>
  <c r="F310" i="26" a="1"/>
  <c r="F310" i="26" s="1"/>
  <c r="F373" i="26" a="1"/>
  <c r="F373" i="26" s="1"/>
  <c r="F369" i="26" a="1"/>
  <c r="F369" i="26" s="1"/>
  <c r="F417" i="26" a="1"/>
  <c r="F417" i="26" s="1"/>
  <c r="F413" i="26" a="1"/>
  <c r="F413" i="26" s="1"/>
  <c r="F396" i="26" a="1"/>
  <c r="F396" i="26" s="1"/>
  <c r="AM53" i="9"/>
  <c r="F330" i="26" a="1"/>
  <c r="F330" i="26" s="1"/>
  <c r="F364" i="26" a="1"/>
  <c r="F364" i="26" s="1"/>
  <c r="F415" i="26" a="1"/>
  <c r="F415" i="26" s="1"/>
  <c r="F336" i="26" a="1"/>
  <c r="F336" i="26" s="1"/>
  <c r="F391" i="26" a="1"/>
  <c r="F391" i="26" s="1"/>
  <c r="AD51" i="9"/>
  <c r="AG51" i="9" s="1" a="1"/>
  <c r="AG51" i="9" s="1"/>
  <c r="AE51" i="9" s="1"/>
  <c r="AJ45" i="27" s="1"/>
  <c r="F300" i="26" a="1"/>
  <c r="F300" i="26" s="1"/>
  <c r="F398" i="26" a="1"/>
  <c r="F398" i="26" s="1"/>
  <c r="F403" i="26" a="1"/>
  <c r="F403" i="26" s="1"/>
  <c r="F312" i="26" a="1"/>
  <c r="F312" i="26" s="1"/>
  <c r="F375" i="26" a="1"/>
  <c r="F375" i="26" s="1"/>
  <c r="F418" i="26" a="1"/>
  <c r="F418" i="26" s="1"/>
  <c r="F331" i="26" a="1"/>
  <c r="F331" i="26" s="1"/>
  <c r="F349" i="26" a="1"/>
  <c r="F349" i="26" s="1"/>
  <c r="F402" i="26" a="1"/>
  <c r="F402" i="26" s="1"/>
  <c r="F307" i="26" a="1"/>
  <c r="F307" i="26" s="1"/>
  <c r="F362" i="26" a="1"/>
  <c r="F362" i="26" s="1"/>
  <c r="F318" i="26" a="1"/>
  <c r="F318" i="26" s="1"/>
  <c r="F381" i="26" a="1"/>
  <c r="F381" i="26" s="1"/>
  <c r="F332" i="26" a="1"/>
  <c r="F332" i="26" s="1"/>
  <c r="F326" i="26" a="1"/>
  <c r="F326" i="26" s="1"/>
  <c r="F316" i="26" a="1"/>
  <c r="F316" i="26" s="1"/>
  <c r="F371" i="26" a="1"/>
  <c r="F371" i="26" s="1"/>
  <c r="F324" i="26" a="1"/>
  <c r="F324" i="26" s="1"/>
  <c r="F392" i="26" a="1"/>
  <c r="F392" i="26" s="1"/>
  <c r="F399" i="26" a="1"/>
  <c r="F399" i="26" s="1"/>
  <c r="F356" i="26" a="1"/>
  <c r="F356" i="26" s="1"/>
  <c r="F313" i="26" a="1"/>
  <c r="F313" i="26" s="1"/>
  <c r="F366" i="26" a="1"/>
  <c r="F366" i="26" s="1"/>
  <c r="F416" i="26" a="1"/>
  <c r="F416" i="26" s="1"/>
  <c r="F380" i="26" a="1"/>
  <c r="F380" i="26" s="1"/>
  <c r="F208" i="26" a="1"/>
  <c r="F208" i="26" s="1"/>
  <c r="F304" i="26" a="1"/>
  <c r="F304" i="26" s="1"/>
  <c r="F372" i="26" a="1"/>
  <c r="F372" i="26" s="1"/>
  <c r="F405" i="26" a="1"/>
  <c r="F405" i="26" s="1"/>
  <c r="F345" i="26" a="1"/>
  <c r="F345" i="26" s="1"/>
  <c r="F353" i="26" a="1"/>
  <c r="F353" i="26" s="1"/>
  <c r="F365" i="26" a="1"/>
  <c r="F365" i="26" s="1"/>
  <c r="F400" i="26" a="1"/>
  <c r="F400" i="26" s="1"/>
  <c r="F410" i="26" a="1"/>
  <c r="F410" i="26" s="1"/>
  <c r="F298" i="26" a="1"/>
  <c r="F298" i="26" s="1"/>
  <c r="F360" i="26" a="1"/>
  <c r="F360" i="26" s="1"/>
  <c r="F377" i="26" a="1"/>
  <c r="F377" i="26" s="1"/>
  <c r="F341" i="26" a="1"/>
  <c r="F341" i="26" s="1"/>
  <c r="F378" i="26" a="1"/>
  <c r="F378" i="26" s="1"/>
  <c r="F406" i="26" a="1"/>
  <c r="F406" i="26" s="1"/>
  <c r="F315" i="26" a="1"/>
  <c r="F315" i="26" s="1"/>
  <c r="F370" i="26" a="1"/>
  <c r="F370" i="26" s="1"/>
  <c r="F412" i="26" a="1"/>
  <c r="F412" i="26" s="1"/>
  <c r="K7" i="9"/>
  <c r="D6" i="39"/>
  <c r="F350" i="26" a="1"/>
  <c r="F350" i="26" s="1"/>
  <c r="F317" i="26" a="1"/>
  <c r="F317" i="26" s="1"/>
  <c r="F383" i="26" a="1"/>
  <c r="F383" i="26" s="1"/>
  <c r="F340" i="26" a="1"/>
  <c r="F340" i="26" s="1"/>
  <c r="F335" i="26" a="1"/>
  <c r="F335" i="26" s="1"/>
  <c r="F382" i="26" a="1"/>
  <c r="F382" i="26" s="1"/>
  <c r="F379" i="26" a="1"/>
  <c r="F379" i="26" s="1"/>
  <c r="F334" i="26" a="1"/>
  <c r="F334" i="26" s="1"/>
  <c r="F363" i="26" a="1"/>
  <c r="F363" i="26" s="1"/>
  <c r="F404" i="26" a="1"/>
  <c r="F404" i="26" s="1"/>
  <c r="F322" i="26" a="1"/>
  <c r="F322" i="26" s="1"/>
  <c r="F338" i="26" a="1"/>
  <c r="F338" i="26" s="1"/>
  <c r="F323" i="26" a="1"/>
  <c r="F323" i="26" s="1"/>
  <c r="F354" i="26" a="1"/>
  <c r="F354" i="26" s="1"/>
  <c r="F308" i="26" a="1"/>
  <c r="F308" i="26" s="1"/>
  <c r="F301" i="26" a="1"/>
  <c r="F301" i="26" s="1"/>
  <c r="F305" i="26" a="1"/>
  <c r="F305" i="26" s="1"/>
  <c r="F409" i="26" a="1"/>
  <c r="F409" i="26" s="1"/>
  <c r="F411" i="26" a="1"/>
  <c r="F411" i="26" s="1"/>
  <c r="F314" i="26" a="1"/>
  <c r="F314" i="26" s="1"/>
  <c r="F407" i="26" a="1"/>
  <c r="F407" i="26" s="1"/>
  <c r="F325" i="26" a="1"/>
  <c r="F325" i="26" s="1"/>
  <c r="F385" i="26" a="1"/>
  <c r="F385" i="26" s="1"/>
  <c r="F297" i="26" a="1"/>
  <c r="F297" i="26" s="1"/>
  <c r="F319" i="26" a="1"/>
  <c r="F319" i="26" s="1"/>
  <c r="F309" i="26" a="1"/>
  <c r="F309" i="26" s="1"/>
  <c r="F359" i="26" a="1"/>
  <c r="F359" i="26" s="1"/>
  <c r="F296" i="26" a="1"/>
  <c r="F296" i="26" s="1"/>
  <c r="F386" i="26" a="1"/>
  <c r="F386" i="26" s="1"/>
  <c r="F374" i="26" a="1"/>
  <c r="F374" i="26" s="1"/>
  <c r="F355" i="26" a="1"/>
  <c r="F355" i="26" s="1"/>
  <c r="F358" i="26" a="1"/>
  <c r="F358" i="26" s="1"/>
  <c r="F376" i="26" a="1"/>
  <c r="F376" i="26" s="1"/>
  <c r="F395" i="26" a="1"/>
  <c r="F395" i="26" s="1"/>
  <c r="F408" i="26" a="1"/>
  <c r="F408" i="26" s="1"/>
  <c r="F302" i="26" a="1"/>
  <c r="F302" i="26" s="1"/>
  <c r="F401" i="26" a="1"/>
  <c r="F401" i="26" s="1"/>
  <c r="AD209" i="26" a="1"/>
  <c r="AD209" i="26" s="1"/>
  <c r="AD218" i="26" a="1"/>
  <c r="AD218" i="26" s="1"/>
  <c r="AD227" i="26" a="1"/>
  <c r="AD227" i="26" s="1"/>
  <c r="AD244" i="26" a="1"/>
  <c r="AD244" i="26" s="1"/>
  <c r="AD261" i="26" a="1"/>
  <c r="AD261" i="26" s="1"/>
  <c r="AD278" i="26" a="1"/>
  <c r="AD278" i="26" s="1"/>
  <c r="AD295" i="26" a="1"/>
  <c r="AD295" i="26" s="1"/>
  <c r="AD254" i="26" a="1"/>
  <c r="AD254" i="26" s="1"/>
  <c r="AD288" i="26" a="1"/>
  <c r="AD288" i="26" s="1"/>
  <c r="AD220" i="26" a="1"/>
  <c r="AD220" i="26" s="1"/>
  <c r="AD246" i="26" a="1"/>
  <c r="AD246" i="26" s="1"/>
  <c r="AD280" i="26" a="1"/>
  <c r="AD280" i="26" s="1"/>
  <c r="AD212" i="26" a="1"/>
  <c r="AD212" i="26" s="1"/>
  <c r="AD238" i="26" a="1"/>
  <c r="AD238" i="26" s="1"/>
  <c r="AD210" i="26" a="1"/>
  <c r="AD210" i="26" s="1"/>
  <c r="AD236" i="26" a="1"/>
  <c r="AD236" i="26" s="1"/>
  <c r="AD253" i="26" a="1"/>
  <c r="AD253" i="26" s="1"/>
  <c r="AD270" i="26" a="1"/>
  <c r="AD270" i="26" s="1"/>
  <c r="AD287" i="26" a="1"/>
  <c r="AD287" i="26" s="1"/>
  <c r="AD304" i="26" a="1"/>
  <c r="AD304" i="26" s="1"/>
  <c r="AD237" i="26" a="1"/>
  <c r="AD237" i="26" s="1"/>
  <c r="AD306" i="26" a="1"/>
  <c r="AD306" i="26" s="1"/>
  <c r="AD219" i="26" a="1"/>
  <c r="AD219" i="26" s="1"/>
  <c r="AD228" i="26" a="1"/>
  <c r="AD228" i="26" s="1"/>
  <c r="AD245" i="26" a="1"/>
  <c r="AD245" i="26" s="1"/>
  <c r="AD262" i="26" a="1"/>
  <c r="AD262" i="26" s="1"/>
  <c r="AD279" i="26" a="1"/>
  <c r="AD279" i="26" s="1"/>
  <c r="AD296" i="26" a="1"/>
  <c r="AD296" i="26" s="1"/>
  <c r="AD211" i="26" a="1"/>
  <c r="AD211" i="26" s="1"/>
  <c r="AD271" i="26" a="1"/>
  <c r="AD271" i="26" s="1"/>
  <c r="AD305" i="26" a="1"/>
  <c r="AD305" i="26" s="1"/>
  <c r="AD229" i="26" a="1"/>
  <c r="AD229" i="26" s="1"/>
  <c r="AD263" i="26" a="1"/>
  <c r="AD263" i="26" s="1"/>
  <c r="AD297" i="26" a="1"/>
  <c r="AD297" i="26" s="1"/>
  <c r="AD221" i="26" a="1"/>
  <c r="AD221" i="26" s="1"/>
  <c r="AD265" i="26" a="1"/>
  <c r="AD265" i="26" s="1"/>
  <c r="AD267" i="26" a="1"/>
  <c r="AD267" i="26" s="1"/>
  <c r="AD303" i="26" a="1"/>
  <c r="AD303" i="26" s="1"/>
  <c r="AD230" i="26" a="1"/>
  <c r="AD230" i="26" s="1"/>
  <c r="AD268" i="26" a="1"/>
  <c r="AD268" i="26" s="1"/>
  <c r="AD257" i="26" a="1"/>
  <c r="AD257" i="26" s="1"/>
  <c r="AD216" i="26" a="1"/>
  <c r="AD216" i="26" s="1"/>
  <c r="AD283" i="26" a="1"/>
  <c r="AD283" i="26" s="1"/>
  <c r="AD232" i="26" a="1"/>
  <c r="AD232" i="26" s="1"/>
  <c r="AD217" i="26" a="1"/>
  <c r="AD217" i="26" s="1"/>
  <c r="AD298" i="26" a="1"/>
  <c r="AD298" i="26" s="1"/>
  <c r="AD213" i="26" a="1"/>
  <c r="AD213" i="26" s="1"/>
  <c r="AD225" i="26" a="1"/>
  <c r="AD225" i="26" s="1"/>
  <c r="AD240" i="26" a="1"/>
  <c r="AD240" i="26" s="1"/>
  <c r="AD252" i="26" a="1"/>
  <c r="AD252" i="26" s="1"/>
  <c r="AD266" i="26" a="1"/>
  <c r="AD266" i="26" s="1"/>
  <c r="AD277" i="26" a="1"/>
  <c r="AD277" i="26" s="1"/>
  <c r="AD291" i="26" a="1"/>
  <c r="AD291" i="26" s="1"/>
  <c r="AD302" i="26" a="1"/>
  <c r="AD302" i="26" s="1"/>
  <c r="AD214" i="26" a="1"/>
  <c r="AD214" i="26" s="1"/>
  <c r="AD292" i="26" a="1"/>
  <c r="AD292" i="26" s="1"/>
  <c r="AD242" i="26" a="1"/>
  <c r="AD242" i="26" s="1"/>
  <c r="AD215" i="26" a="1"/>
  <c r="AD215" i="26" s="1"/>
  <c r="AD293" i="26" a="1"/>
  <c r="AD293" i="26" s="1"/>
  <c r="AD243" i="26" a="1"/>
  <c r="AD243" i="26" s="1"/>
  <c r="AD269" i="26" a="1"/>
  <c r="AD269" i="26" s="1"/>
  <c r="AD308" i="26" a="1"/>
  <c r="AD308" i="26" s="1"/>
  <c r="AD247" i="26" a="1"/>
  <c r="AD247" i="26" s="1"/>
  <c r="AD284" i="26" a="1"/>
  <c r="AD284" i="26" s="1"/>
  <c r="AD248" i="26" a="1"/>
  <c r="AD248" i="26" s="1"/>
  <c r="AD226" i="26" a="1"/>
  <c r="AD226" i="26" s="1"/>
  <c r="AD255" i="26" a="1"/>
  <c r="AD255" i="26" s="1"/>
  <c r="AD241" i="26" a="1"/>
  <c r="AD241" i="26" s="1"/>
  <c r="AD256" i="26" a="1"/>
  <c r="AD256" i="26" s="1"/>
  <c r="AD281" i="26" a="1"/>
  <c r="AD281" i="26" s="1"/>
  <c r="AD282" i="26" a="1"/>
  <c r="AD282" i="26" s="1"/>
  <c r="AD307" i="26" a="1"/>
  <c r="AD307" i="26" s="1"/>
  <c r="AD231" i="26" a="1"/>
  <c r="AD231" i="26" s="1"/>
  <c r="AD258" i="26" a="1"/>
  <c r="AD258" i="26" s="1"/>
  <c r="AD294" i="26" a="1"/>
  <c r="AD294" i="26" s="1"/>
  <c r="AD272" i="26" a="1"/>
  <c r="AD272" i="26" s="1"/>
  <c r="AD259" i="26" a="1"/>
  <c r="AD259" i="26" s="1"/>
  <c r="AD309" i="26" a="1"/>
  <c r="AD309" i="26" s="1"/>
  <c r="AD233" i="26" a="1"/>
  <c r="AD233" i="26" s="1"/>
  <c r="AD273" i="26" a="1"/>
  <c r="AD273" i="26" s="1"/>
  <c r="AD222" i="26" a="1"/>
  <c r="AD222" i="26" s="1"/>
  <c r="AD260" i="26" a="1"/>
  <c r="AD260" i="26" s="1"/>
  <c r="AD300" i="26" a="1"/>
  <c r="AD300" i="26" s="1"/>
  <c r="AD274" i="26" a="1"/>
  <c r="AD274" i="26" s="1"/>
  <c r="AD235" i="26" a="1"/>
  <c r="AD235" i="26" s="1"/>
  <c r="AD239" i="26" a="1"/>
  <c r="AD239" i="26" s="1"/>
  <c r="AD285" i="26" a="1"/>
  <c r="AD285" i="26" s="1"/>
  <c r="AD249" i="26" a="1"/>
  <c r="AD249" i="26" s="1"/>
  <c r="AD250" i="26" a="1"/>
  <c r="AD250" i="26" s="1"/>
  <c r="AD286" i="26" a="1"/>
  <c r="AD286" i="26" s="1"/>
  <c r="AD251" i="26" a="1"/>
  <c r="AD251" i="26" s="1"/>
  <c r="AD290" i="26" a="1"/>
  <c r="AD290" i="26" s="1"/>
  <c r="AD299" i="26" a="1"/>
  <c r="AD299" i="26" s="1"/>
  <c r="AD223" i="26" a="1"/>
  <c r="AD223" i="26" s="1"/>
  <c r="AD264" i="26" a="1"/>
  <c r="AD264" i="26" s="1"/>
  <c r="AD301" i="26" a="1"/>
  <c r="AD301" i="26" s="1"/>
  <c r="AD224" i="26" a="1"/>
  <c r="AD224" i="26" s="1"/>
  <c r="AD234" i="26" a="1"/>
  <c r="AD234" i="26" s="1"/>
  <c r="AD208" i="26" a="1"/>
  <c r="AD208" i="26" s="1"/>
  <c r="AD275" i="26" a="1"/>
  <c r="AD275" i="26" s="1"/>
  <c r="AD276" i="26" a="1"/>
  <c r="AD276" i="26" s="1"/>
  <c r="AD289" i="26" a="1"/>
  <c r="AD289" i="26" s="1"/>
  <c r="R390" i="26" a="1"/>
  <c r="R390" i="26" s="1"/>
  <c r="AE312" i="26" a="1"/>
  <c r="AE312" i="26" s="1"/>
  <c r="AE322" i="26" a="1"/>
  <c r="AE322" i="26" s="1"/>
  <c r="AE342" i="26" a="1"/>
  <c r="AE342" i="26" s="1"/>
  <c r="AE362" i="26" a="1"/>
  <c r="AE362" i="26" s="1"/>
  <c r="AE323" i="26" a="1"/>
  <c r="AE323" i="26" s="1"/>
  <c r="AE333" i="26" a="1"/>
  <c r="AE333" i="26" s="1"/>
  <c r="AE352" i="26" a="1"/>
  <c r="AE352" i="26" s="1"/>
  <c r="AE363" i="26" a="1"/>
  <c r="AE363" i="26" s="1"/>
  <c r="AE373" i="26" a="1"/>
  <c r="AE373" i="26" s="1"/>
  <c r="AE313" i="26" a="1"/>
  <c r="AE313" i="26" s="1"/>
  <c r="AE343" i="26" a="1"/>
  <c r="AE343" i="26" s="1"/>
  <c r="AE314" i="26" a="1"/>
  <c r="AE314" i="26" s="1"/>
  <c r="AE315" i="26" a="1"/>
  <c r="AE315" i="26" s="1"/>
  <c r="AE354" i="26" a="1"/>
  <c r="AE354" i="26" s="1"/>
  <c r="AE335" i="26" a="1"/>
  <c r="AE335" i="26" s="1"/>
  <c r="AE336" i="26" a="1"/>
  <c r="AE336" i="26" s="1"/>
  <c r="AE347" i="26" a="1"/>
  <c r="AE347" i="26" s="1"/>
  <c r="AE318" i="26" a="1"/>
  <c r="AE318" i="26" s="1"/>
  <c r="AE324" i="26" a="1"/>
  <c r="AE324" i="26" s="1"/>
  <c r="AE334" i="26" a="1"/>
  <c r="AE334" i="26" s="1"/>
  <c r="AE344" i="26" a="1"/>
  <c r="AE344" i="26" s="1"/>
  <c r="AE345" i="26" a="1"/>
  <c r="AE345" i="26" s="1"/>
  <c r="AE366" i="26" a="1"/>
  <c r="AE366" i="26" s="1"/>
  <c r="AE317" i="26" a="1"/>
  <c r="AE317" i="26" s="1"/>
  <c r="AE357" i="26" a="1"/>
  <c r="AE357" i="26" s="1"/>
  <c r="AE364" i="26" a="1"/>
  <c r="AE364" i="26" s="1"/>
  <c r="AE326" i="26" a="1"/>
  <c r="AE326" i="26" s="1"/>
  <c r="AE356" i="26" a="1"/>
  <c r="AE356" i="26" s="1"/>
  <c r="AE327" i="26" a="1"/>
  <c r="AE327" i="26" s="1"/>
  <c r="AE367" i="26" a="1"/>
  <c r="AE367" i="26" s="1"/>
  <c r="AE348" i="26" a="1"/>
  <c r="AE348" i="26" s="1"/>
  <c r="AE353" i="26" a="1"/>
  <c r="AE353" i="26" s="1"/>
  <c r="AE325" i="26" a="1"/>
  <c r="AE325" i="26" s="1"/>
  <c r="AE365" i="26" a="1"/>
  <c r="AE365" i="26" s="1"/>
  <c r="AE316" i="26" a="1"/>
  <c r="AE316" i="26" s="1"/>
  <c r="AE355" i="26" a="1"/>
  <c r="AE355" i="26" s="1"/>
  <c r="AE346" i="26" a="1"/>
  <c r="AE346" i="26" s="1"/>
  <c r="AE337" i="26" a="1"/>
  <c r="AE337" i="26" s="1"/>
  <c r="AE329" i="26" a="1"/>
  <c r="AE329" i="26" s="1"/>
  <c r="AE330" i="26" a="1"/>
  <c r="AE330" i="26" s="1"/>
  <c r="AE332" i="26" a="1"/>
  <c r="AE332" i="26" s="1"/>
  <c r="AE310" i="26" a="1"/>
  <c r="AE310" i="26" s="1"/>
  <c r="AE340" i="26" a="1"/>
  <c r="AE340" i="26" s="1"/>
  <c r="AE368" i="26" a="1"/>
  <c r="AE368" i="26" s="1"/>
  <c r="AE319" i="26" a="1"/>
  <c r="AE319" i="26" s="1"/>
  <c r="AE369" i="26" a="1"/>
  <c r="AE369" i="26" s="1"/>
  <c r="AE370" i="26" a="1"/>
  <c r="AE370" i="26" s="1"/>
  <c r="AE320" i="26" a="1"/>
  <c r="AE320" i="26" s="1"/>
  <c r="AE321" i="26" a="1"/>
  <c r="AE321" i="26" s="1"/>
  <c r="AE350" i="26" a="1"/>
  <c r="AE350" i="26" s="1"/>
  <c r="AE351" i="26" a="1"/>
  <c r="AE351" i="26" s="1"/>
  <c r="AE358" i="26" a="1"/>
  <c r="AE358" i="26" s="1"/>
  <c r="AE338" i="26" a="1"/>
  <c r="AE338" i="26" s="1"/>
  <c r="AE360" i="26" a="1"/>
  <c r="AE360" i="26" s="1"/>
  <c r="AE339" i="26" a="1"/>
  <c r="AE339" i="26" s="1"/>
  <c r="AE311" i="26" a="1"/>
  <c r="AE311" i="26" s="1"/>
  <c r="AE361" i="26" a="1"/>
  <c r="AE361" i="26" s="1"/>
  <c r="AE341" i="26" a="1"/>
  <c r="AE341" i="26" s="1"/>
  <c r="AE349" i="26" a="1"/>
  <c r="AE349" i="26" s="1"/>
  <c r="AE309" i="26" a="1"/>
  <c r="AE309" i="26" s="1"/>
  <c r="AE331" i="26" a="1"/>
  <c r="AE331" i="26" s="1"/>
  <c r="AE359" i="26" a="1"/>
  <c r="AE359" i="26" s="1"/>
  <c r="AE371" i="26" a="1"/>
  <c r="AE371" i="26" s="1"/>
  <c r="AE372" i="26" a="1"/>
  <c r="AE372" i="26" s="1"/>
  <c r="AE328" i="26" a="1"/>
  <c r="AE328" i="26" s="1"/>
  <c r="AT49" i="28"/>
  <c r="AL49" i="28"/>
  <c r="BA48" i="28"/>
  <c r="BF49" i="28"/>
  <c r="T45" i="27"/>
  <c r="AK52" i="9"/>
  <c r="AK53" i="9" s="1"/>
  <c r="AJ52" i="9"/>
  <c r="AJ53" i="9" s="1"/>
  <c r="BR48" i="28"/>
  <c r="BI49" i="28"/>
  <c r="AX49" i="28"/>
  <c r="BG49" i="28"/>
  <c r="AP46" i="27"/>
  <c r="AQ48" i="28"/>
  <c r="V46" i="27"/>
  <c r="W46" i="27" s="1"/>
  <c r="M209" i="26" a="1"/>
  <c r="M209" i="26" s="1"/>
  <c r="BS49" i="28"/>
  <c r="BB46" i="27"/>
  <c r="BF46" i="27" s="1"/>
  <c r="BA49" i="28"/>
  <c r="BH49" i="28"/>
  <c r="Z46" i="27"/>
  <c r="AA46" i="27" s="1"/>
  <c r="Y46" i="27" s="1"/>
  <c r="AY49" i="28"/>
  <c r="AD46" i="27"/>
  <c r="L209" i="26" a="1"/>
  <c r="L209" i="26" s="1"/>
  <c r="X209" i="26" s="1"/>
  <c r="BO49" i="28"/>
  <c r="D46" i="27"/>
  <c r="AG52" i="9" a="1"/>
  <c r="AG52" i="9" s="1"/>
  <c r="AE52" i="9" s="1"/>
  <c r="AJ46" i="27" s="1"/>
  <c r="BD48" i="28"/>
  <c r="AZ49" i="28"/>
  <c r="BK48" i="28"/>
  <c r="BK49" i="28"/>
  <c r="BD49" i="28"/>
  <c r="AH46" i="27"/>
  <c r="H209" i="26" a="1"/>
  <c r="H209" i="26" s="1"/>
  <c r="T209" i="26" s="1"/>
  <c r="AV48" i="28"/>
  <c r="BU49" i="28"/>
  <c r="BN48" i="28"/>
  <c r="BP49" i="28"/>
  <c r="K209" i="26" a="1"/>
  <c r="K209" i="26" s="1"/>
  <c r="W209" i="26" s="1"/>
  <c r="BV49" i="28"/>
  <c r="BB49" i="28"/>
  <c r="Q46" i="27"/>
  <c r="S46" i="27" s="1"/>
  <c r="N303" i="39"/>
  <c r="O303" i="39" s="1"/>
  <c r="L146" i="9" s="1"/>
  <c r="N299" i="39"/>
  <c r="BJ49" i="28"/>
  <c r="AV49" i="28"/>
  <c r="P46" i="27"/>
  <c r="R46" i="27" s="1"/>
  <c r="F209" i="26" a="1"/>
  <c r="F209" i="26" s="1"/>
  <c r="AR49" i="28"/>
  <c r="BL49" i="28"/>
  <c r="AZ46" i="27"/>
  <c r="BD46" i="27" s="1"/>
  <c r="BL48" i="28"/>
  <c r="BQ49" i="28"/>
  <c r="BC49" i="28"/>
  <c r="I209" i="26" a="1"/>
  <c r="I209" i="26" s="1"/>
  <c r="U209" i="26" s="1"/>
  <c r="N208" i="39"/>
  <c r="BG48" i="28"/>
  <c r="Z122" i="28"/>
  <c r="AE122" i="28" s="1"/>
  <c r="N329" i="39"/>
  <c r="O329" i="39" s="1"/>
  <c r="N319" i="39"/>
  <c r="O319" i="39" s="1"/>
  <c r="N317" i="39"/>
  <c r="O317" i="39" s="1"/>
  <c r="BJ48" i="28"/>
  <c r="Z75" i="28"/>
  <c r="AE75" i="28" s="1"/>
  <c r="BH48" i="28"/>
  <c r="BQ48" i="28"/>
  <c r="AY48" i="28"/>
  <c r="Z90" i="28"/>
  <c r="AE90" i="28" s="1"/>
  <c r="BC48" i="28"/>
  <c r="BV48" i="28"/>
  <c r="AU48" i="28"/>
  <c r="AZ48" i="28"/>
  <c r="N310" i="39"/>
  <c r="O310" i="39" s="1"/>
  <c r="Z65" i="28"/>
  <c r="AE65" i="28" s="1"/>
  <c r="N312" i="39"/>
  <c r="O312" i="39" s="1"/>
  <c r="BP48" i="28"/>
  <c r="BB48" i="28"/>
  <c r="AT48" i="28"/>
  <c r="AX48" i="28"/>
  <c r="N325" i="39"/>
  <c r="O325" i="39" s="1"/>
  <c r="N308" i="39"/>
  <c r="O308" i="39" s="1"/>
  <c r="Z141" i="28"/>
  <c r="AE141" i="28" s="1"/>
  <c r="Z58" i="28"/>
  <c r="AE58" i="28" s="1"/>
  <c r="N315" i="39"/>
  <c r="O315" i="39" s="1"/>
  <c r="N323" i="39"/>
  <c r="O323" i="39" s="1"/>
  <c r="N321" i="39"/>
  <c r="O321" i="39" s="1"/>
  <c r="Z101" i="28"/>
  <c r="AE101" i="28" s="1"/>
  <c r="Z78" i="28"/>
  <c r="AE78" i="28" s="1"/>
  <c r="N314" i="39"/>
  <c r="O314" i="39" s="1"/>
  <c r="N302" i="39"/>
  <c r="N309" i="39"/>
  <c r="O309" i="39" s="1"/>
  <c r="N297" i="39"/>
  <c r="Z66" i="28"/>
  <c r="AE66" i="28" s="1"/>
  <c r="Z134" i="28"/>
  <c r="AE134" i="28" s="1"/>
  <c r="Z113" i="28"/>
  <c r="AE113" i="28" s="1"/>
  <c r="H45" i="27"/>
  <c r="N324" i="39"/>
  <c r="O324" i="39" s="1"/>
  <c r="Z74" i="28"/>
  <c r="AE74" i="28" s="1"/>
  <c r="Z100" i="28"/>
  <c r="AE100" i="28" s="1"/>
  <c r="N320" i="39"/>
  <c r="O320" i="39" s="1"/>
  <c r="N327" i="39"/>
  <c r="O327" i="39" s="1"/>
  <c r="N322" i="39"/>
  <c r="O322" i="39" s="1"/>
  <c r="N318" i="39"/>
  <c r="O318" i="39" s="1"/>
  <c r="Z111" i="28"/>
  <c r="AE111" i="28" s="1"/>
  <c r="Z140" i="28"/>
  <c r="AE140" i="28" s="1"/>
  <c r="Z126" i="28"/>
  <c r="AE126" i="28" s="1"/>
  <c r="N313" i="39"/>
  <c r="O313" i="39" s="1"/>
  <c r="Z128" i="28"/>
  <c r="AE128" i="28" s="1"/>
  <c r="Z98" i="28"/>
  <c r="AE98" i="28" s="1"/>
  <c r="N306" i="39"/>
  <c r="O306" i="39" s="1"/>
  <c r="N311" i="39"/>
  <c r="O311" i="39" s="1"/>
  <c r="Z68" i="28"/>
  <c r="AE68" i="28" s="1"/>
  <c r="Z73" i="28"/>
  <c r="AE73" i="28" s="1"/>
  <c r="N304" i="39"/>
  <c r="O304" i="39" s="1"/>
  <c r="N305" i="39"/>
  <c r="O305" i="39" s="1"/>
  <c r="N301" i="39"/>
  <c r="Z105" i="28"/>
  <c r="AE105" i="28" s="1"/>
  <c r="N296" i="39"/>
  <c r="AL48" i="28"/>
  <c r="BO48" i="28"/>
  <c r="Z94" i="28"/>
  <c r="AE94" i="28" s="1"/>
  <c r="Z117" i="28"/>
  <c r="AE117" i="28" s="1"/>
  <c r="BU48" i="28"/>
  <c r="Z49" i="28"/>
  <c r="AE49" i="28" s="1"/>
  <c r="Z116" i="28"/>
  <c r="AE116" i="28" s="1"/>
  <c r="BI48" i="28"/>
  <c r="N328" i="39"/>
  <c r="O328" i="39" s="1"/>
  <c r="Z72" i="28"/>
  <c r="AE72" i="28" s="1"/>
  <c r="N316" i="39"/>
  <c r="O316" i="39" s="1"/>
  <c r="Z130" i="28"/>
  <c r="AE130" i="28" s="1"/>
  <c r="N307" i="39"/>
  <c r="O307" i="39" s="1"/>
  <c r="Z136" i="28"/>
  <c r="AE136" i="28" s="1"/>
  <c r="Z107" i="28"/>
  <c r="AE107" i="28" s="1"/>
  <c r="N300" i="39"/>
  <c r="N298" i="39"/>
  <c r="BF48" i="28"/>
  <c r="AP48" i="28"/>
  <c r="Z93" i="28"/>
  <c r="AE93" i="28" s="1"/>
  <c r="Z89" i="28"/>
  <c r="AE89" i="28" s="1"/>
  <c r="Z87" i="28"/>
  <c r="AE87" i="28" s="1"/>
  <c r="AR48" i="28"/>
  <c r="Z50" i="28"/>
  <c r="AE50" i="28" s="1"/>
  <c r="Z99" i="28"/>
  <c r="AE99" i="28" s="1"/>
  <c r="N326" i="39"/>
  <c r="O326" i="39" s="1"/>
  <c r="AS48" i="28"/>
  <c r="BT48" i="28"/>
  <c r="Z51" i="28"/>
  <c r="AE51" i="28" s="1"/>
  <c r="Z69" i="28"/>
  <c r="AE69" i="28" s="1"/>
  <c r="AA45" i="27"/>
  <c r="Y45" i="27" s="1"/>
  <c r="X141" i="28"/>
  <c r="AC141" i="28" s="1"/>
  <c r="Z125" i="28"/>
  <c r="AE125" i="28" s="1"/>
  <c r="Z104" i="28"/>
  <c r="AE104" i="28" s="1"/>
  <c r="Z112" i="28"/>
  <c r="AE112" i="28" s="1"/>
  <c r="Z110" i="28"/>
  <c r="AE110" i="28" s="1"/>
  <c r="Z57" i="28"/>
  <c r="AE57" i="28" s="1"/>
  <c r="U45" i="27"/>
  <c r="M209" i="39" a="1"/>
  <c r="M209" i="39" s="1"/>
  <c r="H209" i="39" a="1"/>
  <c r="H209" i="39" s="1"/>
  <c r="J209" i="39" a="1"/>
  <c r="J209" i="39" s="1"/>
  <c r="I209" i="39" a="1"/>
  <c r="I209" i="39" s="1"/>
  <c r="L209" i="39" a="1"/>
  <c r="L209" i="39" s="1"/>
  <c r="AB46" i="27"/>
  <c r="AW46" i="27" s="1"/>
  <c r="AE46" i="27"/>
  <c r="AC46" i="27" s="1"/>
  <c r="Q49" i="28" a="1"/>
  <c r="Q49" i="28" s="1"/>
  <c r="O49" i="28" a="1"/>
  <c r="O49" i="28" s="1"/>
  <c r="W49" i="28" a="1"/>
  <c r="W49" i="28" s="1"/>
  <c r="S49" i="28" a="1"/>
  <c r="S49" i="28" s="1"/>
  <c r="CC49" i="28"/>
  <c r="U49" i="28" a="1"/>
  <c r="U49" i="28" s="1"/>
  <c r="BX138" i="28"/>
  <c r="BY138" i="28" s="1"/>
  <c r="CE138" i="28" s="1"/>
  <c r="E298" i="26" s="1"/>
  <c r="K209" i="39" a="1"/>
  <c r="K209" i="39" s="1"/>
  <c r="Z97" i="28"/>
  <c r="AE97" i="28" s="1"/>
  <c r="Z52" i="28"/>
  <c r="AE52" i="28" s="1"/>
  <c r="Z82" i="28"/>
  <c r="AE82" i="28" s="1"/>
  <c r="Z85" i="28"/>
  <c r="AE85" i="28" s="1"/>
  <c r="Z64" i="28"/>
  <c r="AE64" i="28" s="1"/>
  <c r="Z56" i="28"/>
  <c r="AE56" i="28" s="1"/>
  <c r="Z106" i="28"/>
  <c r="AE106" i="28" s="1"/>
  <c r="Z123" i="28"/>
  <c r="AE123" i="28" s="1"/>
  <c r="Z79" i="28"/>
  <c r="AE79" i="28" s="1"/>
  <c r="Z133" i="28"/>
  <c r="AE133" i="28" s="1"/>
  <c r="Z120" i="28"/>
  <c r="AE120" i="28" s="1"/>
  <c r="Z53" i="28"/>
  <c r="AE53" i="28" s="1"/>
  <c r="Z83" i="28"/>
  <c r="AE83" i="28" s="1"/>
  <c r="Z96" i="28"/>
  <c r="AE96" i="28" s="1"/>
  <c r="Z119" i="28"/>
  <c r="AE119" i="28" s="1"/>
  <c r="Z48" i="28"/>
  <c r="AE48" i="28" s="1"/>
  <c r="Z80" i="28"/>
  <c r="AE80" i="28" s="1"/>
  <c r="Z124" i="28"/>
  <c r="AE124" i="28" s="1"/>
  <c r="Z62" i="28"/>
  <c r="AE62" i="28" s="1"/>
  <c r="Z67" i="28"/>
  <c r="AE67" i="28" s="1"/>
  <c r="Z102" i="28"/>
  <c r="AE102" i="28" s="1"/>
  <c r="Z88" i="28"/>
  <c r="AE88" i="28" s="1"/>
  <c r="BX141" i="28"/>
  <c r="BY141" i="28" s="1"/>
  <c r="CE141" i="28" s="1"/>
  <c r="E301" i="39" s="1"/>
  <c r="X138" i="28"/>
  <c r="AC138" i="28" s="1"/>
  <c r="Z139" i="28"/>
  <c r="AE139" i="28" s="1"/>
  <c r="Z132" i="28"/>
  <c r="AE132" i="28" s="1"/>
  <c r="Z77" i="28"/>
  <c r="AE77" i="28" s="1"/>
  <c r="Z138" i="28"/>
  <c r="AE138" i="28" s="1"/>
  <c r="Z61" i="28"/>
  <c r="AE61" i="28" s="1"/>
  <c r="Z84" i="28"/>
  <c r="AE84" i="28" s="1"/>
  <c r="Z103" i="28"/>
  <c r="AE103" i="28" s="1"/>
  <c r="BX140" i="28"/>
  <c r="BY140" i="28" s="1"/>
  <c r="CE140" i="28" s="1"/>
  <c r="E300" i="39" s="1"/>
  <c r="Z114" i="28"/>
  <c r="AE114" i="28" s="1"/>
  <c r="Z129" i="28"/>
  <c r="AE129" i="28" s="1"/>
  <c r="Z59" i="28"/>
  <c r="AE59" i="28" s="1"/>
  <c r="Z63" i="28"/>
  <c r="AE63" i="28" s="1"/>
  <c r="Z137" i="28"/>
  <c r="AE137" i="28" s="1"/>
  <c r="Z81" i="28"/>
  <c r="AE81" i="28" s="1"/>
  <c r="Z60" i="28"/>
  <c r="AE60" i="28" s="1"/>
  <c r="Z115" i="28"/>
  <c r="AE115" i="28" s="1"/>
  <c r="Z131" i="28"/>
  <c r="AE131" i="28" s="1"/>
  <c r="Z135" i="28"/>
  <c r="AE135" i="28" s="1"/>
  <c r="Z55" i="28"/>
  <c r="AE55" i="28" s="1"/>
  <c r="Z91" i="28"/>
  <c r="AE91" i="28" s="1"/>
  <c r="Z127" i="28"/>
  <c r="AE127" i="28" s="1"/>
  <c r="Z109" i="28"/>
  <c r="AE109" i="28" s="1"/>
  <c r="Z76" i="28"/>
  <c r="AE76" i="28" s="1"/>
  <c r="Z121" i="28"/>
  <c r="AE121" i="28" s="1"/>
  <c r="C210" i="39"/>
  <c r="AD53" i="9"/>
  <c r="C54" i="9"/>
  <c r="F53" i="9"/>
  <c r="E47" i="27"/>
  <c r="AF53" i="9"/>
  <c r="G53" i="9" a="1"/>
  <c r="G53" i="9" s="1"/>
  <c r="J50" i="28" s="1"/>
  <c r="AL50" i="28" s="1"/>
  <c r="C210" i="26"/>
  <c r="Z95" i="28"/>
  <c r="AE95" i="28" s="1"/>
  <c r="Z54" i="28"/>
  <c r="AE54" i="28" s="1"/>
  <c r="Z71" i="28"/>
  <c r="AE71" i="28" s="1"/>
  <c r="Z86" i="28"/>
  <c r="AE86" i="28" s="1"/>
  <c r="Z70" i="28"/>
  <c r="AE70" i="28" s="1"/>
  <c r="Z118" i="28"/>
  <c r="AE118" i="28" s="1"/>
  <c r="Z92" i="28"/>
  <c r="AE92" i="28" s="1"/>
  <c r="AE45" i="27"/>
  <c r="AC45" i="27" s="1"/>
  <c r="AB45" i="27"/>
  <c r="AW45" i="27" s="1"/>
  <c r="BX139" i="28"/>
  <c r="BY139" i="28" s="1"/>
  <c r="CE139" i="28" s="1"/>
  <c r="E299" i="26" s="1"/>
  <c r="BX136" i="28"/>
  <c r="BY136" i="28" s="1"/>
  <c r="CE136" i="28" s="1"/>
  <c r="AA136" i="28"/>
  <c r="AF136" i="28" s="1"/>
  <c r="X136" i="28"/>
  <c r="AC136" i="28" s="1"/>
  <c r="Y136" i="28"/>
  <c r="AD136" i="28" s="1"/>
  <c r="AA140" i="28"/>
  <c r="AF140" i="28" s="1"/>
  <c r="Y140" i="28"/>
  <c r="AD140" i="28" s="1"/>
  <c r="Y139" i="28"/>
  <c r="AD139" i="28" s="1"/>
  <c r="AA139" i="28"/>
  <c r="AF139" i="28" s="1"/>
  <c r="AA138" i="28"/>
  <c r="AF138" i="28" s="1"/>
  <c r="Y138" i="28"/>
  <c r="AD138" i="28" s="1"/>
  <c r="X139" i="28"/>
  <c r="AC139" i="28" s="1"/>
  <c r="BX137" i="28"/>
  <c r="BY137" i="28" s="1"/>
  <c r="CE137" i="28" s="1"/>
  <c r="AA141" i="28"/>
  <c r="AF141" i="28" s="1"/>
  <c r="Y141" i="28"/>
  <c r="AD141" i="28" s="1"/>
  <c r="Y137" i="28"/>
  <c r="AD137" i="28" s="1"/>
  <c r="AA137" i="28"/>
  <c r="AF137" i="28" s="1"/>
  <c r="X137" i="28"/>
  <c r="AC137" i="28" s="1"/>
  <c r="X140" i="28"/>
  <c r="AC140" i="28" s="1"/>
  <c r="AC10" i="39" a="1"/>
  <c r="AC10" i="39" s="1"/>
  <c r="AA8" i="39" a="1"/>
  <c r="AA8" i="39" s="1"/>
  <c r="AC9" i="39" a="1"/>
  <c r="AA9" i="39" l="1" a="1"/>
  <c r="AA9" i="39" s="1"/>
  <c r="AC8" i="39" a="1"/>
  <c r="AC8" i="39" s="1"/>
  <c r="H21" i="9" a="1"/>
  <c r="H21" i="9" s="1"/>
  <c r="AC5" i="39" a="1"/>
  <c r="AC5" i="39" s="1"/>
  <c r="K53" i="9"/>
  <c r="Y209" i="26"/>
  <c r="AK209" i="26" s="1"/>
  <c r="K52" i="9"/>
  <c r="H20" i="9" a="1"/>
  <c r="H20" i="9" s="1"/>
  <c r="J21" i="9" a="1"/>
  <c r="J21" i="9" s="1"/>
  <c r="AL54" i="9"/>
  <c r="AL51" i="9"/>
  <c r="AA5" i="39" a="1"/>
  <c r="AA5" i="39" s="1"/>
  <c r="AL53" i="9"/>
  <c r="H19" i="9" a="1"/>
  <c r="H19" i="9" s="1"/>
  <c r="D54" i="9" s="1"/>
  <c r="A54" i="9" s="1"/>
  <c r="AA4" i="39" a="1"/>
  <c r="AA4" i="39" s="1"/>
  <c r="AK45" i="27"/>
  <c r="AM45" i="27" s="1"/>
  <c r="AJ54" i="9"/>
  <c r="AK54" i="9"/>
  <c r="E301" i="26"/>
  <c r="X46" i="27"/>
  <c r="AV46" i="27" s="1"/>
  <c r="AU45" i="27"/>
  <c r="H46" i="27"/>
  <c r="T46" i="27"/>
  <c r="AG46" i="27"/>
  <c r="AF46" i="27"/>
  <c r="AX46" i="27" s="1"/>
  <c r="AI46" i="27"/>
  <c r="E298" i="39"/>
  <c r="AK46" i="27"/>
  <c r="AM46" i="27" s="1"/>
  <c r="N209" i="39"/>
  <c r="E300" i="26"/>
  <c r="AG53" i="9" a="1"/>
  <c r="AG53" i="9" s="1"/>
  <c r="O50" i="28" a="1"/>
  <c r="O50" i="28" s="1"/>
  <c r="U50" i="28" a="1"/>
  <c r="U50" i="28" s="1"/>
  <c r="W50" i="28" a="1"/>
  <c r="W50" i="28" s="1"/>
  <c r="S50" i="28" a="1"/>
  <c r="S50" i="28" s="1"/>
  <c r="CC50" i="28"/>
  <c r="Q50" i="28" a="1"/>
  <c r="Q50" i="28" s="1"/>
  <c r="H210" i="39" a="1"/>
  <c r="H210" i="39" s="1"/>
  <c r="I210" i="39" a="1"/>
  <c r="I210" i="39" s="1"/>
  <c r="J210" i="39" a="1"/>
  <c r="J210" i="39" s="1"/>
  <c r="M210" i="39" a="1"/>
  <c r="M210" i="39" s="1"/>
  <c r="K210" i="39" a="1"/>
  <c r="K210" i="39" s="1"/>
  <c r="L210" i="39" a="1"/>
  <c r="L210" i="39" s="1"/>
  <c r="F45" i="27"/>
  <c r="F210" i="26" a="1"/>
  <c r="F210" i="26" s="1"/>
  <c r="K210" i="26" a="1"/>
  <c r="K210" i="26" s="1"/>
  <c r="W210" i="26" s="1"/>
  <c r="L210" i="26" a="1"/>
  <c r="L210" i="26" s="1"/>
  <c r="X210" i="26" s="1"/>
  <c r="J210" i="26" a="1"/>
  <c r="J210" i="26" s="1"/>
  <c r="V210" i="26" s="1"/>
  <c r="H210" i="26" a="1"/>
  <c r="H210" i="26" s="1"/>
  <c r="T210" i="26" s="1"/>
  <c r="I210" i="26" a="1"/>
  <c r="I210" i="26" s="1"/>
  <c r="U210" i="26" s="1"/>
  <c r="G210" i="26" a="1"/>
  <c r="G210" i="26" s="1"/>
  <c r="M210" i="26" a="1"/>
  <c r="M210" i="26" s="1"/>
  <c r="G45" i="27"/>
  <c r="J51" i="9" s="1"/>
  <c r="C211" i="39"/>
  <c r="E48" i="27"/>
  <c r="G54" i="9" a="1"/>
  <c r="G54" i="9" s="1"/>
  <c r="J51" i="28" s="1"/>
  <c r="C55" i="9"/>
  <c r="AF54" i="9"/>
  <c r="AD54" i="9"/>
  <c r="K54" i="9"/>
  <c r="F54" i="9"/>
  <c r="C211" i="26"/>
  <c r="AM54" i="9"/>
  <c r="I46" i="27"/>
  <c r="U46" i="27"/>
  <c r="G46" i="27" s="1"/>
  <c r="J52" i="9" s="1"/>
  <c r="BQ50" i="28"/>
  <c r="BT50" i="28"/>
  <c r="AZ50" i="28"/>
  <c r="AX50" i="28"/>
  <c r="BY44" i="28" s="1"/>
  <c r="AT50" i="28"/>
  <c r="BC50" i="28"/>
  <c r="BU50" i="28"/>
  <c r="BF50" i="28"/>
  <c r="BO50" i="28"/>
  <c r="BS50" i="28"/>
  <c r="AQ50" i="28"/>
  <c r="BA50" i="28"/>
  <c r="AR50" i="28"/>
  <c r="BN49" i="28"/>
  <c r="BV50" i="28"/>
  <c r="AS50" i="28"/>
  <c r="BK50" i="28"/>
  <c r="BR50" i="28"/>
  <c r="AP50" i="28"/>
  <c r="BP50" i="28"/>
  <c r="BI50" i="28"/>
  <c r="AV50" i="28"/>
  <c r="BB50" i="28"/>
  <c r="BD50" i="28"/>
  <c r="BG50" i="28"/>
  <c r="BJ50" i="28"/>
  <c r="BH50" i="28"/>
  <c r="AU50" i="28"/>
  <c r="BW44" i="28" s="1"/>
  <c r="AY50" i="28"/>
  <c r="BL50" i="28"/>
  <c r="I45" i="27"/>
  <c r="F46" i="27"/>
  <c r="P47" i="27"/>
  <c r="R47" i="27" s="1"/>
  <c r="V47" i="27"/>
  <c r="Q47" i="27"/>
  <c r="S47" i="27" s="1"/>
  <c r="AZ47" i="27"/>
  <c r="BD47" i="27" s="1"/>
  <c r="Z47" i="27"/>
  <c r="D47" i="27"/>
  <c r="AD47" i="27"/>
  <c r="AP47" i="27"/>
  <c r="BB47" i="27"/>
  <c r="BF47" i="27" s="1"/>
  <c r="BA47" i="27"/>
  <c r="BE47" i="27" s="1"/>
  <c r="AH47" i="27"/>
  <c r="E299" i="39"/>
  <c r="E296" i="39"/>
  <c r="E296" i="26"/>
  <c r="E297" i="39"/>
  <c r="E297" i="26"/>
  <c r="AC9" i="39"/>
  <c r="F297" i="39" l="1" a="1"/>
  <c r="F297" i="39" s="1"/>
  <c r="O297" i="39" s="1"/>
  <c r="L140" i="9" s="1"/>
  <c r="M140" i="9" s="1"/>
  <c r="M137" i="28" s="1"/>
  <c r="F210" i="39" a="1"/>
  <c r="F210" i="39" s="1"/>
  <c r="AK55" i="9"/>
  <c r="AG54" i="9" a="1"/>
  <c r="AG54" i="9" s="1"/>
  <c r="AK48" i="27" s="1"/>
  <c r="AK210" i="26"/>
  <c r="Y210" i="26"/>
  <c r="F300" i="39" a="1"/>
  <c r="F300" i="39" s="1"/>
  <c r="O300" i="39" s="1"/>
  <c r="L143" i="9" s="1"/>
  <c r="M143" i="9" s="1"/>
  <c r="M140" i="28" s="1"/>
  <c r="F298" i="39" a="1"/>
  <c r="F298" i="39" s="1"/>
  <c r="O298" i="39" s="1"/>
  <c r="L141" i="9" s="1"/>
  <c r="M141" i="9" s="1"/>
  <c r="M138" i="28" s="1"/>
  <c r="F208" i="39" a="1"/>
  <c r="F208" i="39" s="1"/>
  <c r="O208" i="39" s="1"/>
  <c r="L51" i="9" s="1"/>
  <c r="K48" i="28" s="1"/>
  <c r="F302" i="39" a="1"/>
  <c r="F302" i="39" s="1"/>
  <c r="O302" i="39" s="1"/>
  <c r="L145" i="9" s="1"/>
  <c r="K142" i="28" s="1"/>
  <c r="F299" i="39" a="1"/>
  <c r="F299" i="39" s="1"/>
  <c r="O299" i="39" s="1"/>
  <c r="L142" i="9" s="1"/>
  <c r="M142" i="9" s="1"/>
  <c r="M139" i="28" s="1"/>
  <c r="F296" i="39" a="1"/>
  <c r="F296" i="39" s="1"/>
  <c r="O296" i="39" s="1"/>
  <c r="L139" i="9" s="1"/>
  <c r="K136" i="28" s="1"/>
  <c r="F211" i="39" a="1"/>
  <c r="F211" i="39" s="1"/>
  <c r="F209" i="39" a="1"/>
  <c r="F209" i="39" s="1"/>
  <c r="O209" i="39" s="1"/>
  <c r="L52" i="9" s="1"/>
  <c r="K49" i="28" s="1"/>
  <c r="F301" i="39" a="1"/>
  <c r="F301" i="39" s="1"/>
  <c r="O301" i="39" s="1"/>
  <c r="L144" i="9" s="1"/>
  <c r="M144" i="9" s="1"/>
  <c r="M141" i="28" s="1"/>
  <c r="D51" i="9"/>
  <c r="D53" i="9"/>
  <c r="D52" i="9"/>
  <c r="N210" i="39"/>
  <c r="AT54" i="9"/>
  <c r="AH54" i="9"/>
  <c r="AI54" i="9" s="1"/>
  <c r="T47" i="27"/>
  <c r="H47" i="27"/>
  <c r="W47" i="27"/>
  <c r="C212" i="39"/>
  <c r="E49" i="27"/>
  <c r="AD55" i="9"/>
  <c r="K55" i="9"/>
  <c r="AF55" i="9"/>
  <c r="C56" i="9"/>
  <c r="F55" i="9"/>
  <c r="G55" i="9" a="1"/>
  <c r="G55" i="9" s="1"/>
  <c r="J52" i="28" s="1"/>
  <c r="C212" i="26"/>
  <c r="AM55" i="9"/>
  <c r="AK56" i="9" s="1"/>
  <c r="D55" i="9"/>
  <c r="A55" i="9" s="1"/>
  <c r="AL55" i="9"/>
  <c r="CC51" i="28"/>
  <c r="U51" i="28" a="1"/>
  <c r="U51" i="28" s="1"/>
  <c r="Q51" i="28" a="1"/>
  <c r="Q51" i="28" s="1"/>
  <c r="O51" i="28" a="1"/>
  <c r="O51" i="28" s="1"/>
  <c r="S51" i="28" a="1"/>
  <c r="S51" i="28" s="1"/>
  <c r="W51" i="28" a="1"/>
  <c r="W51" i="28" s="1"/>
  <c r="I52" i="9"/>
  <c r="AR46" i="27"/>
  <c r="AS46" i="27" s="1"/>
  <c r="AT46" i="27" s="1"/>
  <c r="AD48" i="27"/>
  <c r="P48" i="27"/>
  <c r="R48" i="27" s="1"/>
  <c r="D48" i="27"/>
  <c r="AZ48" i="27"/>
  <c r="BD48" i="27" s="1"/>
  <c r="BB48" i="27"/>
  <c r="BF48" i="27" s="1"/>
  <c r="AH48" i="27"/>
  <c r="BA48" i="27"/>
  <c r="BE48" i="27" s="1"/>
  <c r="AP48" i="27"/>
  <c r="Z48" i="27"/>
  <c r="Q48" i="27"/>
  <c r="S48" i="27" s="1"/>
  <c r="V48" i="27"/>
  <c r="J211" i="26" a="1"/>
  <c r="J211" i="26" s="1"/>
  <c r="V211" i="26" s="1"/>
  <c r="I211" i="26" a="1"/>
  <c r="I211" i="26" s="1"/>
  <c r="U211" i="26" s="1"/>
  <c r="H211" i="26" a="1"/>
  <c r="H211" i="26" s="1"/>
  <c r="T211" i="26" s="1"/>
  <c r="K211" i="26" a="1"/>
  <c r="K211" i="26" s="1"/>
  <c r="W211" i="26" s="1"/>
  <c r="F211" i="26" a="1"/>
  <c r="F211" i="26" s="1"/>
  <c r="L211" i="26" a="1"/>
  <c r="L211" i="26" s="1"/>
  <c r="X211" i="26" s="1"/>
  <c r="G211" i="26" a="1"/>
  <c r="G211" i="26" s="1"/>
  <c r="M211" i="26" a="1"/>
  <c r="M211" i="26" s="1"/>
  <c r="AU46" i="27"/>
  <c r="K211" i="39" a="1"/>
  <c r="K211" i="39" s="1"/>
  <c r="L211" i="39" a="1"/>
  <c r="L211" i="39" s="1"/>
  <c r="H211" i="39" a="1"/>
  <c r="H211" i="39" s="1"/>
  <c r="I211" i="39" a="1"/>
  <c r="I211" i="39" s="1"/>
  <c r="J211" i="39" a="1"/>
  <c r="J211" i="39" s="1"/>
  <c r="M211" i="39" a="1"/>
  <c r="M211" i="39" s="1"/>
  <c r="AA47" i="27"/>
  <c r="Y47" i="27" s="1"/>
  <c r="X47" i="27"/>
  <c r="AV47" i="27" s="1"/>
  <c r="AU54" i="9"/>
  <c r="AT51" i="28"/>
  <c r="AR51" i="28"/>
  <c r="AU51" i="28"/>
  <c r="BC51" i="28"/>
  <c r="BA51" i="28"/>
  <c r="BI51" i="28"/>
  <c r="BK51" i="28"/>
  <c r="BS51" i="28"/>
  <c r="BP51" i="28"/>
  <c r="BQ51" i="28"/>
  <c r="BH51" i="28"/>
  <c r="BR51" i="28"/>
  <c r="AP51" i="28"/>
  <c r="BO51" i="28"/>
  <c r="BN50" i="28"/>
  <c r="BG51" i="28"/>
  <c r="AS51" i="28"/>
  <c r="BJ51" i="28"/>
  <c r="BT51" i="28"/>
  <c r="AL51" i="28"/>
  <c r="AY51" i="28"/>
  <c r="BB51" i="28"/>
  <c r="BF51" i="28"/>
  <c r="BU51" i="28"/>
  <c r="BV51" i="28"/>
  <c r="AV51" i="28"/>
  <c r="BL51" i="28"/>
  <c r="AZ51" i="28"/>
  <c r="AX51" i="28"/>
  <c r="BD51" i="28"/>
  <c r="AQ51" i="28"/>
  <c r="AJ55" i="9"/>
  <c r="AL48" i="27"/>
  <c r="AF47" i="27"/>
  <c r="AX47" i="27" s="1"/>
  <c r="AI47" i="27"/>
  <c r="AG47" i="27"/>
  <c r="AR45" i="27"/>
  <c r="AS45" i="27" s="1"/>
  <c r="AT45" i="27" s="1"/>
  <c r="I51" i="9"/>
  <c r="AK47" i="27"/>
  <c r="AE53" i="9"/>
  <c r="AJ47" i="27" s="1"/>
  <c r="AE47" i="27"/>
  <c r="AC47" i="27" s="1"/>
  <c r="AB47" i="27"/>
  <c r="AW47" i="27" s="1"/>
  <c r="H51" i="28"/>
  <c r="G303" i="39" a="1"/>
  <c r="G303" i="39" s="1"/>
  <c r="G310" i="39" a="1"/>
  <c r="G310" i="39" s="1"/>
  <c r="G296" i="39" a="1"/>
  <c r="G296" i="39" s="1"/>
  <c r="G309" i="39" a="1"/>
  <c r="G309" i="39" s="1"/>
  <c r="G313" i="39" a="1"/>
  <c r="G313" i="39" s="1"/>
  <c r="G300" i="39" a="1"/>
  <c r="G300" i="39" s="1"/>
  <c r="G208" i="39" a="1"/>
  <c r="G208" i="39" s="1"/>
  <c r="G210" i="39" a="1"/>
  <c r="G210" i="39" s="1"/>
  <c r="G307" i="39" a="1"/>
  <c r="G307" i="39" s="1"/>
  <c r="G311" i="39" a="1"/>
  <c r="G311" i="39" s="1"/>
  <c r="G304" i="39" a="1"/>
  <c r="G304" i="39" s="1"/>
  <c r="G299" i="39" a="1"/>
  <c r="G299" i="39" s="1"/>
  <c r="G209" i="39" a="1"/>
  <c r="G209" i="39" s="1"/>
  <c r="G211" i="39" a="1"/>
  <c r="G211" i="39" s="1"/>
  <c r="G297" i="39" a="1"/>
  <c r="G297" i="39" s="1"/>
  <c r="G312" i="39" a="1"/>
  <c r="G312" i="39" s="1"/>
  <c r="G298" i="39" a="1"/>
  <c r="G298" i="39" s="1"/>
  <c r="G308" i="39" a="1"/>
  <c r="G308" i="39" s="1"/>
  <c r="G301" i="39" a="1"/>
  <c r="G301" i="39" s="1"/>
  <c r="G305" i="39" a="1"/>
  <c r="G305" i="39" s="1"/>
  <c r="G302" i="39" a="1"/>
  <c r="G302" i="39" s="1"/>
  <c r="G306" i="39" a="1"/>
  <c r="G306" i="39" s="1"/>
  <c r="K137" i="28" l="1"/>
  <c r="O210" i="39"/>
  <c r="L53" i="9" s="1"/>
  <c r="K50" i="28" s="1"/>
  <c r="AE54" i="9"/>
  <c r="AJ48" i="27" s="1"/>
  <c r="K140" i="28"/>
  <c r="Y211" i="26"/>
  <c r="AK211" i="26" s="1"/>
  <c r="K138" i="28"/>
  <c r="M139" i="9"/>
  <c r="M136" i="28" s="1"/>
  <c r="K139" i="28"/>
  <c r="K141" i="28"/>
  <c r="A52" i="9"/>
  <c r="AU52" i="9"/>
  <c r="H49" i="28"/>
  <c r="AH52" i="9"/>
  <c r="AI52" i="9" s="1"/>
  <c r="AT52" i="9"/>
  <c r="AL46" i="27"/>
  <c r="AN46" i="27" s="1"/>
  <c r="AO46" i="27" s="1"/>
  <c r="A53" i="9"/>
  <c r="AH53" i="9"/>
  <c r="AI53" i="9" s="1"/>
  <c r="AL47" i="27"/>
  <c r="H50" i="28"/>
  <c r="AT53" i="9"/>
  <c r="AU53" i="9"/>
  <c r="A51" i="9"/>
  <c r="AT51" i="9"/>
  <c r="AL45" i="27"/>
  <c r="AN45" i="27" s="1"/>
  <c r="AO45" i="27" s="1"/>
  <c r="AU51" i="9"/>
  <c r="AH51" i="9"/>
  <c r="AI51" i="9" s="1"/>
  <c r="H48" i="28"/>
  <c r="X51" i="28"/>
  <c r="AC51" i="28" s="1"/>
  <c r="AH51" i="28" s="1"/>
  <c r="N211" i="39"/>
  <c r="O211" i="39" s="1"/>
  <c r="L54" i="9" s="1"/>
  <c r="K51" i="28" s="1"/>
  <c r="M51" i="9"/>
  <c r="M48" i="28" s="1"/>
  <c r="AG55" i="9" a="1"/>
  <c r="AG55" i="9" s="1"/>
  <c r="AE55" i="9" s="1"/>
  <c r="AJ49" i="27" s="1"/>
  <c r="M52" i="9"/>
  <c r="M49" i="28" s="1"/>
  <c r="AM47" i="27"/>
  <c r="AP49" i="27"/>
  <c r="P49" i="27"/>
  <c r="R49" i="27" s="1"/>
  <c r="AZ49" i="27"/>
  <c r="BD49" i="27" s="1"/>
  <c r="Q49" i="27"/>
  <c r="S49" i="27" s="1"/>
  <c r="AH49" i="27"/>
  <c r="D49" i="27"/>
  <c r="V49" i="27"/>
  <c r="AD49" i="27"/>
  <c r="Z49" i="27"/>
  <c r="BB49" i="27"/>
  <c r="BF49" i="27" s="1"/>
  <c r="BA49" i="27"/>
  <c r="BE49" i="27" s="1"/>
  <c r="W48" i="27"/>
  <c r="H48" i="27"/>
  <c r="T48" i="27"/>
  <c r="Y51" i="28"/>
  <c r="AD51" i="28" s="1"/>
  <c r="AI51" i="28" s="1"/>
  <c r="I212" i="39" a="1"/>
  <c r="I212" i="39" s="1"/>
  <c r="H212" i="39" a="1"/>
  <c r="H212" i="39" s="1"/>
  <c r="K212" i="39" a="1"/>
  <c r="K212" i="39" s="1"/>
  <c r="M212" i="39" a="1"/>
  <c r="M212" i="39" s="1"/>
  <c r="L212" i="39" a="1"/>
  <c r="L212" i="39" s="1"/>
  <c r="J212" i="39" a="1"/>
  <c r="J212" i="39" s="1"/>
  <c r="F212" i="39" a="1"/>
  <c r="F212" i="39" s="1"/>
  <c r="G212" i="39" a="1"/>
  <c r="G212" i="39" s="1"/>
  <c r="Q52" i="28" a="1"/>
  <c r="Q52" i="28" s="1"/>
  <c r="U52" i="28" a="1"/>
  <c r="U52" i="28" s="1"/>
  <c r="CC52" i="28"/>
  <c r="O52" i="28" a="1"/>
  <c r="O52" i="28" s="1"/>
  <c r="S52" i="28" a="1"/>
  <c r="S52" i="28" s="1"/>
  <c r="W52" i="28" a="1"/>
  <c r="W52" i="28" s="1"/>
  <c r="AX54" i="9"/>
  <c r="AW54" i="9"/>
  <c r="U47" i="27"/>
  <c r="G47" i="27" s="1"/>
  <c r="J53" i="9" s="1"/>
  <c r="I47" i="27"/>
  <c r="J212" i="26" a="1"/>
  <c r="J212" i="26" s="1"/>
  <c r="V212" i="26" s="1"/>
  <c r="I212" i="26" a="1"/>
  <c r="I212" i="26" s="1"/>
  <c r="U212" i="26" s="1"/>
  <c r="F212" i="26" a="1"/>
  <c r="F212" i="26" s="1"/>
  <c r="K212" i="26" a="1"/>
  <c r="K212" i="26" s="1"/>
  <c r="W212" i="26" s="1"/>
  <c r="L212" i="26" a="1"/>
  <c r="L212" i="26" s="1"/>
  <c r="X212" i="26" s="1"/>
  <c r="H212" i="26" a="1"/>
  <c r="H212" i="26" s="1"/>
  <c r="T212" i="26" s="1"/>
  <c r="G212" i="26" a="1"/>
  <c r="G212" i="26" s="1"/>
  <c r="M212" i="26" a="1"/>
  <c r="M212" i="26" s="1"/>
  <c r="AL49" i="27"/>
  <c r="H52" i="28"/>
  <c r="AM52" i="28" s="1"/>
  <c r="AT55" i="9"/>
  <c r="AU55" i="9"/>
  <c r="AH55" i="9"/>
  <c r="AI55" i="9" s="1"/>
  <c r="AE48" i="27"/>
  <c r="AC48" i="27" s="1"/>
  <c r="AB48" i="27"/>
  <c r="AW48" i="27" s="1"/>
  <c r="C213" i="39"/>
  <c r="G56" i="9" a="1"/>
  <c r="G56" i="9" s="1"/>
  <c r="J53" i="28" s="1"/>
  <c r="AF56" i="9"/>
  <c r="AD56" i="9"/>
  <c r="E50" i="27"/>
  <c r="K56" i="9"/>
  <c r="C57" i="9"/>
  <c r="F56" i="9"/>
  <c r="C213" i="26"/>
  <c r="AM56" i="9"/>
  <c r="AK57" i="9" s="1"/>
  <c r="AL56" i="9"/>
  <c r="D56" i="9"/>
  <c r="A56" i="9" s="1"/>
  <c r="AA48" i="27"/>
  <c r="Y48" i="27" s="1"/>
  <c r="X48" i="27"/>
  <c r="AV48" i="27" s="1"/>
  <c r="AA51" i="28"/>
  <c r="AF51" i="28" s="1"/>
  <c r="AY45" i="27"/>
  <c r="BC45" i="27" s="1"/>
  <c r="AM51" i="28"/>
  <c r="AJ56" i="9"/>
  <c r="F47" i="27"/>
  <c r="AI48" i="27"/>
  <c r="AF48" i="27"/>
  <c r="AX48" i="27" s="1"/>
  <c r="AG48" i="27"/>
  <c r="AT52" i="28"/>
  <c r="AU52" i="28"/>
  <c r="BP52" i="28"/>
  <c r="AZ52" i="28"/>
  <c r="AX52" i="28"/>
  <c r="BH52" i="28"/>
  <c r="AP52" i="28"/>
  <c r="BN51" i="28"/>
  <c r="BI52" i="28"/>
  <c r="BR52" i="28"/>
  <c r="AY52" i="28"/>
  <c r="BB52" i="28"/>
  <c r="AR52" i="28"/>
  <c r="BC52" i="28"/>
  <c r="BQ52" i="28"/>
  <c r="BA52" i="28"/>
  <c r="BK52" i="28"/>
  <c r="AL52" i="28"/>
  <c r="BG52" i="28"/>
  <c r="BV52" i="28"/>
  <c r="BO52" i="28"/>
  <c r="BJ52" i="28"/>
  <c r="BF52" i="28"/>
  <c r="BL52" i="28"/>
  <c r="AV52" i="28"/>
  <c r="BD52" i="28"/>
  <c r="BT52" i="28"/>
  <c r="AS52" i="28"/>
  <c r="BU52" i="28"/>
  <c r="AQ52" i="28"/>
  <c r="BS52" i="28"/>
  <c r="AM48" i="27"/>
  <c r="AN48" i="27" s="1"/>
  <c r="Y212" i="26" l="1"/>
  <c r="AK212" i="26" s="1"/>
  <c r="AV74" i="9"/>
  <c r="AV96" i="9"/>
  <c r="AV75" i="9"/>
  <c r="AV89" i="9"/>
  <c r="AV58" i="9"/>
  <c r="AV121" i="9"/>
  <c r="AV51" i="9"/>
  <c r="AV56" i="9"/>
  <c r="AV87" i="9"/>
  <c r="AV104" i="9"/>
  <c r="AV67" i="9"/>
  <c r="AV95" i="9"/>
  <c r="AV99" i="9"/>
  <c r="AV71" i="9"/>
  <c r="AV119" i="9"/>
  <c r="AV107" i="9"/>
  <c r="AV133" i="9"/>
  <c r="AV113" i="9"/>
  <c r="AV116" i="9"/>
  <c r="AV91" i="9"/>
  <c r="AV90" i="9"/>
  <c r="AV85" i="9"/>
  <c r="AV114" i="9"/>
  <c r="AV122" i="9"/>
  <c r="AV62" i="9"/>
  <c r="AV115" i="9"/>
  <c r="AV132" i="9"/>
  <c r="AV82" i="9"/>
  <c r="AV101" i="9"/>
  <c r="AV77" i="9"/>
  <c r="AV79" i="9"/>
  <c r="AV73" i="9"/>
  <c r="AV70" i="9"/>
  <c r="AV59" i="9"/>
  <c r="AV124" i="9"/>
  <c r="AV129" i="9"/>
  <c r="AV130" i="9"/>
  <c r="AV103" i="9"/>
  <c r="AV81" i="9"/>
  <c r="AV123" i="9"/>
  <c r="AV106" i="9"/>
  <c r="AV131" i="9"/>
  <c r="AV69" i="9"/>
  <c r="AV55" i="9"/>
  <c r="AV105" i="9"/>
  <c r="AV86" i="9"/>
  <c r="AV83" i="9"/>
  <c r="AV61" i="9"/>
  <c r="AV93" i="9"/>
  <c r="AV98" i="9"/>
  <c r="AV66" i="9"/>
  <c r="AV120" i="9"/>
  <c r="AW51" i="9"/>
  <c r="AV53" i="9"/>
  <c r="AV112" i="9"/>
  <c r="AV118" i="9"/>
  <c r="AV64" i="9"/>
  <c r="AV57" i="9"/>
  <c r="AX51" i="9"/>
  <c r="AV52" i="9"/>
  <c r="AV72" i="9"/>
  <c r="AV128" i="9"/>
  <c r="AV110" i="9"/>
  <c r="AV127" i="9"/>
  <c r="AV126" i="9"/>
  <c r="AV109" i="9"/>
  <c r="AV80" i="9"/>
  <c r="AV54" i="9"/>
  <c r="AV94" i="9"/>
  <c r="AV84" i="9"/>
  <c r="AV125" i="9"/>
  <c r="AV88" i="9"/>
  <c r="AV68" i="9"/>
  <c r="AV117" i="9"/>
  <c r="AV100" i="9"/>
  <c r="AV63" i="9"/>
  <c r="AV60" i="9"/>
  <c r="AV78" i="9"/>
  <c r="AV76" i="9"/>
  <c r="AV111" i="9"/>
  <c r="AV108" i="9"/>
  <c r="AV102" i="9"/>
  <c r="AV97" i="9"/>
  <c r="AV65" i="9"/>
  <c r="AV92" i="9"/>
  <c r="AW52" i="9"/>
  <c r="AX52" i="9"/>
  <c r="AX53" i="9"/>
  <c r="AW53" i="9"/>
  <c r="X50" i="28"/>
  <c r="AC50" i="28" s="1"/>
  <c r="AH50" i="28" s="1"/>
  <c r="AM50" i="28"/>
  <c r="AA50" i="28"/>
  <c r="AF50" i="28" s="1"/>
  <c r="Y50" i="28"/>
  <c r="AD50" i="28" s="1"/>
  <c r="AI50" i="28" s="1"/>
  <c r="AN47" i="27"/>
  <c r="AO47" i="27" s="1"/>
  <c r="AA49" i="28"/>
  <c r="AF49" i="28" s="1"/>
  <c r="Y49" i="28"/>
  <c r="AD49" i="28" s="1"/>
  <c r="AI49" i="28" s="1"/>
  <c r="X49" i="28"/>
  <c r="AC49" i="28" s="1"/>
  <c r="AH49" i="28" s="1"/>
  <c r="AM49" i="28"/>
  <c r="X48" i="28"/>
  <c r="AC48" i="28" s="1"/>
  <c r="Y48" i="28"/>
  <c r="AD48" i="28" s="1"/>
  <c r="AI48" i="28" s="1"/>
  <c r="AA48" i="28"/>
  <c r="AF48" i="28" s="1"/>
  <c r="AK49" i="27"/>
  <c r="AM49" i="27" s="1"/>
  <c r="AN49" i="27" s="1"/>
  <c r="AG56" i="9" a="1"/>
  <c r="AG56" i="9" s="1"/>
  <c r="AE56" i="9" s="1"/>
  <c r="AJ50" i="27" s="1"/>
  <c r="AU47" i="27"/>
  <c r="AY46" i="27" s="1"/>
  <c r="BC46" i="27" s="1"/>
  <c r="BG46" i="27" s="1"/>
  <c r="BW49" i="28" s="1"/>
  <c r="N212" i="39"/>
  <c r="O212" i="39" s="1"/>
  <c r="L55" i="9" s="1"/>
  <c r="K52" i="28" s="1"/>
  <c r="X49" i="27"/>
  <c r="AV49" i="27" s="1"/>
  <c r="AA49" i="27"/>
  <c r="Y49" i="27" s="1"/>
  <c r="AH50" i="27"/>
  <c r="P50" i="27"/>
  <c r="R50" i="27" s="1"/>
  <c r="AD50" i="27"/>
  <c r="BA50" i="27"/>
  <c r="BE50" i="27" s="1"/>
  <c r="AP50" i="27"/>
  <c r="Z50" i="27"/>
  <c r="Q50" i="27"/>
  <c r="S50" i="27" s="1"/>
  <c r="D50" i="27"/>
  <c r="BB50" i="27"/>
  <c r="BF50" i="27" s="1"/>
  <c r="V50" i="27"/>
  <c r="AZ50" i="27"/>
  <c r="BD50" i="27" s="1"/>
  <c r="BG45" i="27"/>
  <c r="BW48" i="28" s="1"/>
  <c r="AR47" i="27"/>
  <c r="AS47" i="27" s="1"/>
  <c r="AT47" i="27" s="1"/>
  <c r="I53" i="9"/>
  <c r="AJ57" i="9"/>
  <c r="J213" i="26" a="1"/>
  <c r="J213" i="26" s="1"/>
  <c r="V213" i="26" s="1"/>
  <c r="G213" i="26" a="1"/>
  <c r="G213" i="26" s="1"/>
  <c r="I213" i="26" a="1"/>
  <c r="I213" i="26" s="1"/>
  <c r="U213" i="26" s="1"/>
  <c r="L213" i="26" a="1"/>
  <c r="L213" i="26" s="1"/>
  <c r="X213" i="26" s="1"/>
  <c r="H213" i="26" a="1"/>
  <c r="H213" i="26" s="1"/>
  <c r="T213" i="26" s="1"/>
  <c r="K213" i="26" a="1"/>
  <c r="K213" i="26" s="1"/>
  <c r="W213" i="26" s="1"/>
  <c r="F213" i="26" a="1"/>
  <c r="F213" i="26" s="1"/>
  <c r="M213" i="26" a="1"/>
  <c r="M213" i="26" s="1"/>
  <c r="U48" i="27"/>
  <c r="G48" i="27" s="1"/>
  <c r="J54" i="9" s="1"/>
  <c r="I48" i="27"/>
  <c r="AH56" i="9"/>
  <c r="AI56" i="9" s="1"/>
  <c r="AL50" i="27"/>
  <c r="AU56" i="9"/>
  <c r="H53" i="28"/>
  <c r="AM53" i="28" s="1"/>
  <c r="AT56" i="9"/>
  <c r="AX55" i="9"/>
  <c r="AW55" i="9"/>
  <c r="AE49" i="27"/>
  <c r="AC49" i="27" s="1"/>
  <c r="AB49" i="27"/>
  <c r="AW49" i="27" s="1"/>
  <c r="C214" i="39"/>
  <c r="E51" i="27"/>
  <c r="G57" i="9" a="1"/>
  <c r="G57" i="9" s="1"/>
  <c r="J54" i="28" s="1"/>
  <c r="F57" i="9"/>
  <c r="AF57" i="9"/>
  <c r="AD57" i="9"/>
  <c r="C58" i="9"/>
  <c r="K57" i="9"/>
  <c r="C214" i="26"/>
  <c r="AM57" i="9"/>
  <c r="AK58" i="9" s="1"/>
  <c r="AL57" i="9"/>
  <c r="D57" i="9"/>
  <c r="A57" i="9" s="1"/>
  <c r="BK53" i="28"/>
  <c r="BQ53" i="28"/>
  <c r="BJ53" i="28"/>
  <c r="BU53" i="28"/>
  <c r="AT53" i="28"/>
  <c r="BL53" i="28"/>
  <c r="BF53" i="28"/>
  <c r="BB53" i="28"/>
  <c r="AU53" i="28"/>
  <c r="BR53" i="28"/>
  <c r="AV53" i="28"/>
  <c r="BD53" i="28"/>
  <c r="BT53" i="28"/>
  <c r="AR53" i="28"/>
  <c r="BN52" i="28"/>
  <c r="AX53" i="28"/>
  <c r="BO53" i="28"/>
  <c r="BS53" i="28"/>
  <c r="AS53" i="28"/>
  <c r="AQ53" i="28"/>
  <c r="BI53" i="28"/>
  <c r="AP53" i="28"/>
  <c r="BC53" i="28"/>
  <c r="BP53" i="28"/>
  <c r="BG53" i="28"/>
  <c r="BH53" i="28"/>
  <c r="AY53" i="28"/>
  <c r="BV53" i="28"/>
  <c r="BA53" i="28"/>
  <c r="AZ53" i="28"/>
  <c r="AL53" i="28"/>
  <c r="AJ51" i="28"/>
  <c r="AK51" i="28"/>
  <c r="L213" i="39" a="1"/>
  <c r="L213" i="39" s="1"/>
  <c r="H213" i="39" a="1"/>
  <c r="H213" i="39" s="1"/>
  <c r="M213" i="39" a="1"/>
  <c r="M213" i="39" s="1"/>
  <c r="I213" i="39" a="1"/>
  <c r="I213" i="39" s="1"/>
  <c r="K213" i="39" a="1"/>
  <c r="K213" i="39" s="1"/>
  <c r="J213" i="39" a="1"/>
  <c r="J213" i="39" s="1"/>
  <c r="F213" i="39" a="1"/>
  <c r="F213" i="39" s="1"/>
  <c r="G213" i="39" a="1"/>
  <c r="G213" i="39" s="1"/>
  <c r="AU48" i="27"/>
  <c r="AY47" i="27" s="1"/>
  <c r="BC47" i="27" s="1"/>
  <c r="BG47" i="27" s="1"/>
  <c r="BW50" i="28" s="1"/>
  <c r="F48" i="27"/>
  <c r="W49" i="27"/>
  <c r="H49" i="27"/>
  <c r="T49" i="27"/>
  <c r="O53" i="28" a="1"/>
  <c r="O53" i="28" s="1"/>
  <c r="Q53" i="28" a="1"/>
  <c r="Q53" i="28" s="1"/>
  <c r="S53" i="28" a="1"/>
  <c r="S53" i="28" s="1"/>
  <c r="CC53" i="28"/>
  <c r="W53" i="28" a="1"/>
  <c r="W53" i="28" s="1"/>
  <c r="U53" i="28" a="1"/>
  <c r="U53" i="28" s="1"/>
  <c r="AI49" i="27"/>
  <c r="AF49" i="27"/>
  <c r="AX49" i="27" s="1"/>
  <c r="AG49" i="27"/>
  <c r="Y52" i="28"/>
  <c r="AD52" i="28" s="1"/>
  <c r="AI52" i="28" s="1"/>
  <c r="X52" i="28"/>
  <c r="AC52" i="28" s="1"/>
  <c r="AH52" i="28" s="1"/>
  <c r="AA52" i="28"/>
  <c r="AF52" i="28" s="1"/>
  <c r="Y213" i="26" l="1"/>
  <c r="AK213" i="26" s="1"/>
  <c r="AK49" i="28"/>
  <c r="AJ49" i="28"/>
  <c r="AK50" i="28"/>
  <c r="AJ50" i="28"/>
  <c r="AK50" i="27"/>
  <c r="AM50" i="27" s="1"/>
  <c r="AN50" i="27" s="1"/>
  <c r="AG57" i="9" a="1"/>
  <c r="AG57" i="9" s="1"/>
  <c r="AE57" i="9" s="1"/>
  <c r="AJ51" i="27" s="1"/>
  <c r="M53" i="9"/>
  <c r="M50" i="28" s="1"/>
  <c r="N213" i="39"/>
  <c r="O213" i="39" s="1"/>
  <c r="L56" i="9" s="1"/>
  <c r="K53" i="28" s="1"/>
  <c r="AJ58" i="9"/>
  <c r="X50" i="27"/>
  <c r="AV50" i="27" s="1"/>
  <c r="AA50" i="27"/>
  <c r="Y50" i="27" s="1"/>
  <c r="AR48" i="27"/>
  <c r="AS48" i="27" s="1"/>
  <c r="AT48" i="27" s="1"/>
  <c r="I54" i="9"/>
  <c r="AI50" i="27"/>
  <c r="AF50" i="27"/>
  <c r="AX50" i="27" s="1"/>
  <c r="AG50" i="27"/>
  <c r="C215" i="39"/>
  <c r="K58" i="9"/>
  <c r="C59" i="9"/>
  <c r="E52" i="27"/>
  <c r="G58" i="9" a="1"/>
  <c r="G58" i="9" s="1"/>
  <c r="J55" i="28" s="1"/>
  <c r="C215" i="26"/>
  <c r="AD58" i="9"/>
  <c r="AF58" i="9"/>
  <c r="F58" i="9"/>
  <c r="AM58" i="9"/>
  <c r="AK59" i="9" s="1"/>
  <c r="AL58" i="9"/>
  <c r="D58" i="9"/>
  <c r="A58" i="9" s="1"/>
  <c r="U49" i="27"/>
  <c r="G49" i="27" s="1"/>
  <c r="J55" i="9" s="1"/>
  <c r="I49" i="27"/>
  <c r="M214" i="39" a="1"/>
  <c r="M214" i="39" s="1"/>
  <c r="J214" i="39" a="1"/>
  <c r="J214" i="39" s="1"/>
  <c r="H214" i="39" a="1"/>
  <c r="H214" i="39" s="1"/>
  <c r="K214" i="39" a="1"/>
  <c r="K214" i="39" s="1"/>
  <c r="L214" i="39" a="1"/>
  <c r="L214" i="39" s="1"/>
  <c r="I214" i="39" a="1"/>
  <c r="I214" i="39" s="1"/>
  <c r="F214" i="39" a="1"/>
  <c r="F214" i="39" s="1"/>
  <c r="G214" i="39" a="1"/>
  <c r="G214" i="39" s="1"/>
  <c r="AA53" i="28"/>
  <c r="AF53" i="28" s="1"/>
  <c r="Y53" i="28"/>
  <c r="AD53" i="28" s="1"/>
  <c r="AI53" i="28" s="1"/>
  <c r="X53" i="28"/>
  <c r="AC53" i="28" s="1"/>
  <c r="AH53" i="28" s="1"/>
  <c r="AW56" i="9"/>
  <c r="AX56" i="9"/>
  <c r="W50" i="27"/>
  <c r="T50" i="27"/>
  <c r="H50" i="27"/>
  <c r="BG54" i="28"/>
  <c r="BJ54" i="28"/>
  <c r="AY54" i="28"/>
  <c r="BB54" i="28"/>
  <c r="BP54" i="28"/>
  <c r="AZ54" i="28"/>
  <c r="BK54" i="28"/>
  <c r="BQ54" i="28"/>
  <c r="BN53" i="28"/>
  <c r="AT54" i="28"/>
  <c r="AS54" i="28"/>
  <c r="AU54" i="28"/>
  <c r="AP54" i="28"/>
  <c r="BC54" i="28"/>
  <c r="BV54" i="28"/>
  <c r="BR54" i="28"/>
  <c r="AX54" i="28"/>
  <c r="BO54" i="28"/>
  <c r="BI54" i="28"/>
  <c r="BA54" i="28"/>
  <c r="BF54" i="28"/>
  <c r="BS54" i="28"/>
  <c r="AR54" i="28"/>
  <c r="BH54" i="28"/>
  <c r="AQ54" i="28"/>
  <c r="BT54" i="28"/>
  <c r="BU54" i="28"/>
  <c r="AV54" i="28"/>
  <c r="BL54" i="28"/>
  <c r="BD54" i="28"/>
  <c r="AL54" i="28"/>
  <c r="F49" i="27"/>
  <c r="Q54" i="28" a="1"/>
  <c r="Q54" i="28" s="1"/>
  <c r="W54" i="28" a="1"/>
  <c r="W54" i="28" s="1"/>
  <c r="U54" i="28" a="1"/>
  <c r="U54" i="28" s="1"/>
  <c r="S54" i="28" a="1"/>
  <c r="S54" i="28" s="1"/>
  <c r="CC54" i="28"/>
  <c r="O54" i="28" a="1"/>
  <c r="O54" i="28" s="1"/>
  <c r="AO48" i="27"/>
  <c r="AL51" i="27"/>
  <c r="AU57" i="9"/>
  <c r="AT57" i="9"/>
  <c r="H54" i="28"/>
  <c r="AH57" i="9"/>
  <c r="AI57" i="9" s="1"/>
  <c r="AB50" i="27"/>
  <c r="AW50" i="27" s="1"/>
  <c r="AE50" i="27"/>
  <c r="AC50" i="27" s="1"/>
  <c r="H214" i="26" a="1"/>
  <c r="H214" i="26" s="1"/>
  <c r="T214" i="26" s="1"/>
  <c r="L214" i="26" a="1"/>
  <c r="L214" i="26" s="1"/>
  <c r="X214" i="26" s="1"/>
  <c r="G214" i="26" a="1"/>
  <c r="G214" i="26" s="1"/>
  <c r="K214" i="26" a="1"/>
  <c r="K214" i="26" s="1"/>
  <c r="W214" i="26" s="1"/>
  <c r="I214" i="26" a="1"/>
  <c r="I214" i="26" s="1"/>
  <c r="U214" i="26" s="1"/>
  <c r="J214" i="26" a="1"/>
  <c r="J214" i="26" s="1"/>
  <c r="V214" i="26" s="1"/>
  <c r="F214" i="26" a="1"/>
  <c r="F214" i="26" s="1"/>
  <c r="M214" i="26" a="1"/>
  <c r="M214" i="26" s="1"/>
  <c r="AK52" i="28"/>
  <c r="AJ52" i="28"/>
  <c r="AD51" i="27"/>
  <c r="Z51" i="27"/>
  <c r="AZ51" i="27"/>
  <c r="BD51" i="27" s="1"/>
  <c r="BB51" i="27"/>
  <c r="BF51" i="27" s="1"/>
  <c r="AP51" i="27"/>
  <c r="D51" i="27"/>
  <c r="V51" i="27"/>
  <c r="Q51" i="27"/>
  <c r="S51" i="27" s="1"/>
  <c r="P51" i="27"/>
  <c r="R51" i="27" s="1"/>
  <c r="AH51" i="27"/>
  <c r="BA51" i="27"/>
  <c r="BE51" i="27" s="1"/>
  <c r="Y214" i="26" l="1"/>
  <c r="AK214" i="26" s="1"/>
  <c r="AK51" i="27"/>
  <c r="AM51" i="27" s="1"/>
  <c r="AN51" i="27" s="1"/>
  <c r="AJ59" i="9"/>
  <c r="M54" i="9"/>
  <c r="M51" i="28" s="1"/>
  <c r="AU49" i="27"/>
  <c r="AY48" i="27" s="1"/>
  <c r="BC48" i="27" s="1"/>
  <c r="N214" i="39"/>
  <c r="O214" i="39" s="1"/>
  <c r="L57" i="9" s="1"/>
  <c r="K54" i="28" s="1"/>
  <c r="Y54" i="28"/>
  <c r="AD54" i="28" s="1"/>
  <c r="AI54" i="28" s="1"/>
  <c r="X54" i="28"/>
  <c r="AC54" i="28" s="1"/>
  <c r="AH54" i="28" s="1"/>
  <c r="AJ53" i="28"/>
  <c r="AK53" i="28"/>
  <c r="I215" i="26" a="1"/>
  <c r="I215" i="26" s="1"/>
  <c r="U215" i="26" s="1"/>
  <c r="G215" i="26" a="1"/>
  <c r="G215" i="26" s="1"/>
  <c r="F215" i="26" a="1"/>
  <c r="F215" i="26" s="1"/>
  <c r="K215" i="26" a="1"/>
  <c r="K215" i="26" s="1"/>
  <c r="W215" i="26" s="1"/>
  <c r="J215" i="26" a="1"/>
  <c r="J215" i="26" s="1"/>
  <c r="V215" i="26" s="1"/>
  <c r="L215" i="26" a="1"/>
  <c r="L215" i="26" s="1"/>
  <c r="X215" i="26" s="1"/>
  <c r="H215" i="26" a="1"/>
  <c r="H215" i="26" s="1"/>
  <c r="T215" i="26" s="1"/>
  <c r="M215" i="26" a="1"/>
  <c r="M215" i="26" s="1"/>
  <c r="AX57" i="9"/>
  <c r="AW57" i="9"/>
  <c r="BB55" i="28"/>
  <c r="BC55" i="28"/>
  <c r="BD55" i="28"/>
  <c r="AU55" i="28"/>
  <c r="BF55" i="28"/>
  <c r="AY55" i="28"/>
  <c r="AQ55" i="28"/>
  <c r="BI55" i="28"/>
  <c r="BQ55" i="28"/>
  <c r="AT55" i="28"/>
  <c r="BO55" i="28"/>
  <c r="BN54" i="28"/>
  <c r="BG55" i="28"/>
  <c r="AR55" i="28"/>
  <c r="AX55" i="28"/>
  <c r="BJ55" i="28"/>
  <c r="BH55" i="28"/>
  <c r="BK55" i="28"/>
  <c r="BV55" i="28"/>
  <c r="AS55" i="28"/>
  <c r="BR55" i="28"/>
  <c r="BP55" i="28"/>
  <c r="AL55" i="28"/>
  <c r="BU55" i="28"/>
  <c r="AV55" i="28"/>
  <c r="BL55" i="28"/>
  <c r="AZ55" i="28"/>
  <c r="BS55" i="28"/>
  <c r="BT55" i="28"/>
  <c r="BA55" i="28"/>
  <c r="AP55" i="28"/>
  <c r="AA54" i="28"/>
  <c r="AF54" i="28" s="1"/>
  <c r="AG58" i="9" a="1"/>
  <c r="AG58" i="9" s="1"/>
  <c r="AA51" i="27"/>
  <c r="Y51" i="27" s="1"/>
  <c r="X51" i="27"/>
  <c r="AV51" i="27" s="1"/>
  <c r="AB51" i="27"/>
  <c r="AW51" i="27" s="1"/>
  <c r="AE51" i="27"/>
  <c r="AC51" i="27" s="1"/>
  <c r="I55" i="9"/>
  <c r="AR49" i="27"/>
  <c r="AS49" i="27" s="1"/>
  <c r="AT49" i="27" s="1"/>
  <c r="AI51" i="27"/>
  <c r="AG51" i="27"/>
  <c r="AF51" i="27"/>
  <c r="AX51" i="27" s="1"/>
  <c r="T51" i="27"/>
  <c r="W51" i="27"/>
  <c r="H51" i="27"/>
  <c r="AM54" i="28"/>
  <c r="U55" i="28" a="1"/>
  <c r="U55" i="28" s="1"/>
  <c r="Q55" i="28" a="1"/>
  <c r="Q55" i="28" s="1"/>
  <c r="W55" i="28" a="1"/>
  <c r="W55" i="28" s="1"/>
  <c r="S55" i="28" a="1"/>
  <c r="S55" i="28" s="1"/>
  <c r="O55" i="28" a="1"/>
  <c r="O55" i="28" s="1"/>
  <c r="CC55" i="28"/>
  <c r="F50" i="27"/>
  <c r="D52" i="27"/>
  <c r="AH52" i="27"/>
  <c r="AZ52" i="27"/>
  <c r="BD52" i="27" s="1"/>
  <c r="AP52" i="27"/>
  <c r="BB52" i="27"/>
  <c r="BF52" i="27" s="1"/>
  <c r="P52" i="27"/>
  <c r="R52" i="27" s="1"/>
  <c r="Q52" i="27"/>
  <c r="S52" i="27" s="1"/>
  <c r="V52" i="27"/>
  <c r="BA52" i="27"/>
  <c r="BE52" i="27" s="1"/>
  <c r="Z52" i="27"/>
  <c r="AD52" i="27"/>
  <c r="J215" i="39" a="1"/>
  <c r="J215" i="39" s="1"/>
  <c r="L215" i="39" a="1"/>
  <c r="L215" i="39" s="1"/>
  <c r="I215" i="39" a="1"/>
  <c r="I215" i="39" s="1"/>
  <c r="H215" i="39" a="1"/>
  <c r="H215" i="39" s="1"/>
  <c r="K215" i="39" a="1"/>
  <c r="K215" i="39" s="1"/>
  <c r="M215" i="39" a="1"/>
  <c r="M215" i="39" s="1"/>
  <c r="F215" i="39" a="1"/>
  <c r="F215" i="39" s="1"/>
  <c r="G215" i="39" a="1"/>
  <c r="G215" i="39" s="1"/>
  <c r="AH58" i="9"/>
  <c r="AI58" i="9" s="1"/>
  <c r="H55" i="28"/>
  <c r="AM55" i="28" s="1"/>
  <c r="AU58" i="9"/>
  <c r="AT58" i="9"/>
  <c r="AL52" i="27"/>
  <c r="U50" i="27"/>
  <c r="G50" i="27" s="1"/>
  <c r="J56" i="9" s="1"/>
  <c r="I50" i="27"/>
  <c r="C216" i="39"/>
  <c r="C216" i="26"/>
  <c r="E53" i="27"/>
  <c r="G59" i="9" a="1"/>
  <c r="G59" i="9" s="1"/>
  <c r="J56" i="28" s="1"/>
  <c r="F59" i="9"/>
  <c r="C60" i="9"/>
  <c r="AD59" i="9"/>
  <c r="K59" i="9"/>
  <c r="AF59" i="9"/>
  <c r="AM59" i="9"/>
  <c r="AK60" i="9" s="1"/>
  <c r="AL59" i="9"/>
  <c r="D59" i="9"/>
  <c r="A59" i="9" s="1"/>
  <c r="AO49" i="27"/>
  <c r="Y215" i="26" l="1"/>
  <c r="AK215" i="26" s="1"/>
  <c r="N215" i="39"/>
  <c r="O215" i="39" s="1"/>
  <c r="L58" i="9" s="1"/>
  <c r="K55" i="28" s="1"/>
  <c r="AU50" i="27"/>
  <c r="AY49" i="27" s="1"/>
  <c r="BC49" i="27" s="1"/>
  <c r="BG49" i="27" s="1"/>
  <c r="BW52" i="28" s="1"/>
  <c r="M55" i="9"/>
  <c r="M52" i="28" s="1"/>
  <c r="F51" i="27"/>
  <c r="AO51" i="27" s="1"/>
  <c r="AG52" i="27"/>
  <c r="AI52" i="27"/>
  <c r="AF52" i="27"/>
  <c r="AX52" i="27" s="1"/>
  <c r="BQ56" i="28"/>
  <c r="BK56" i="28"/>
  <c r="BB56" i="28"/>
  <c r="BC56" i="28"/>
  <c r="BA56" i="28"/>
  <c r="AS56" i="28"/>
  <c r="AQ56" i="28"/>
  <c r="BI56" i="28"/>
  <c r="BG56" i="28"/>
  <c r="AZ56" i="28"/>
  <c r="BJ56" i="28"/>
  <c r="BP56" i="28"/>
  <c r="AX56" i="28"/>
  <c r="BN55" i="28"/>
  <c r="AT56" i="28"/>
  <c r="BR56" i="28"/>
  <c r="BO56" i="28"/>
  <c r="AP56" i="28"/>
  <c r="BH56" i="28"/>
  <c r="AR56" i="28"/>
  <c r="BV56" i="28"/>
  <c r="BS56" i="28"/>
  <c r="AY56" i="28"/>
  <c r="BF56" i="28"/>
  <c r="BT56" i="28"/>
  <c r="BD56" i="28"/>
  <c r="BU56" i="28"/>
  <c r="AV56" i="28"/>
  <c r="AU56" i="28"/>
  <c r="BL56" i="28"/>
  <c r="AL56" i="28"/>
  <c r="L216" i="39" a="1"/>
  <c r="L216" i="39" s="1"/>
  <c r="I216" i="39" a="1"/>
  <c r="I216" i="39" s="1"/>
  <c r="M216" i="39" a="1"/>
  <c r="M216" i="39" s="1"/>
  <c r="J216" i="39" a="1"/>
  <c r="J216" i="39" s="1"/>
  <c r="H216" i="39" a="1"/>
  <c r="H216" i="39" s="1"/>
  <c r="K216" i="39" a="1"/>
  <c r="K216" i="39" s="1"/>
  <c r="F216" i="39" a="1"/>
  <c r="F216" i="39" s="1"/>
  <c r="G216" i="39" a="1"/>
  <c r="G216" i="39" s="1"/>
  <c r="BG48" i="27"/>
  <c r="BW51" i="28" s="1"/>
  <c r="AJ60" i="9"/>
  <c r="I56" i="9"/>
  <c r="AR50" i="27"/>
  <c r="AS50" i="27" s="1"/>
  <c r="AT50" i="27" s="1"/>
  <c r="AO50" i="27"/>
  <c r="AA52" i="27"/>
  <c r="Y52" i="27" s="1"/>
  <c r="X52" i="27"/>
  <c r="AV52" i="27" s="1"/>
  <c r="AD53" i="27"/>
  <c r="BA53" i="27"/>
  <c r="BE53" i="27" s="1"/>
  <c r="AH53" i="27"/>
  <c r="Q53" i="27"/>
  <c r="S53" i="27" s="1"/>
  <c r="AZ53" i="27"/>
  <c r="BD53" i="27" s="1"/>
  <c r="BB53" i="27"/>
  <c r="BF53" i="27" s="1"/>
  <c r="P53" i="27"/>
  <c r="R53" i="27" s="1"/>
  <c r="D53" i="27"/>
  <c r="AP53" i="27"/>
  <c r="V53" i="27"/>
  <c r="Z53" i="27"/>
  <c r="AA55" i="28"/>
  <c r="AF55" i="28" s="1"/>
  <c r="X55" i="28"/>
  <c r="AC55" i="28" s="1"/>
  <c r="AH55" i="28" s="1"/>
  <c r="Y55" i="28"/>
  <c r="AD55" i="28" s="1"/>
  <c r="AI55" i="28" s="1"/>
  <c r="AE58" i="9"/>
  <c r="AJ52" i="27" s="1"/>
  <c r="AK52" i="27"/>
  <c r="W52" i="27"/>
  <c r="T52" i="27"/>
  <c r="H52" i="27"/>
  <c r="AJ54" i="28"/>
  <c r="AK54" i="28"/>
  <c r="AG59" i="9" a="1"/>
  <c r="AG59" i="9" s="1"/>
  <c r="Q56" i="28" a="1"/>
  <c r="Q56" i="28" s="1"/>
  <c r="O56" i="28" a="1"/>
  <c r="O56" i="28" s="1"/>
  <c r="S56" i="28" a="1"/>
  <c r="S56" i="28" s="1"/>
  <c r="U56" i="28" a="1"/>
  <c r="U56" i="28" s="1"/>
  <c r="W56" i="28" a="1"/>
  <c r="W56" i="28" s="1"/>
  <c r="CC56" i="28"/>
  <c r="K216" i="26" a="1"/>
  <c r="K216" i="26" s="1"/>
  <c r="W216" i="26" s="1"/>
  <c r="H216" i="26" a="1"/>
  <c r="H216" i="26" s="1"/>
  <c r="T216" i="26" s="1"/>
  <c r="F216" i="26" a="1"/>
  <c r="F216" i="26" s="1"/>
  <c r="G216" i="26" a="1"/>
  <c r="G216" i="26" s="1"/>
  <c r="I216" i="26" a="1"/>
  <c r="I216" i="26" s="1"/>
  <c r="U216" i="26" s="1"/>
  <c r="L216" i="26" a="1"/>
  <c r="L216" i="26" s="1"/>
  <c r="X216" i="26" s="1"/>
  <c r="J216" i="26" a="1"/>
  <c r="J216" i="26" s="1"/>
  <c r="V216" i="26" s="1"/>
  <c r="M216" i="26" a="1"/>
  <c r="M216" i="26" s="1"/>
  <c r="AB52" i="27"/>
  <c r="AW52" i="27" s="1"/>
  <c r="AE52" i="27"/>
  <c r="AC52" i="27" s="1"/>
  <c r="AU59" i="9"/>
  <c r="H56" i="28"/>
  <c r="AM56" i="28" s="1"/>
  <c r="AT59" i="9"/>
  <c r="AH59" i="9"/>
  <c r="AI59" i="9" s="1"/>
  <c r="AL53" i="27"/>
  <c r="AX58" i="9"/>
  <c r="AW58" i="9"/>
  <c r="C217" i="39"/>
  <c r="C217" i="26"/>
  <c r="G60" i="9" a="1"/>
  <c r="G60" i="9" s="1"/>
  <c r="J57" i="28" s="1"/>
  <c r="AD60" i="9"/>
  <c r="K60" i="9"/>
  <c r="F60" i="9"/>
  <c r="E54" i="27"/>
  <c r="C61" i="9"/>
  <c r="AF60" i="9"/>
  <c r="AM60" i="9"/>
  <c r="AK61" i="9" s="1"/>
  <c r="D60" i="9"/>
  <c r="A60" i="9" s="1"/>
  <c r="AL60" i="9"/>
  <c r="U51" i="27"/>
  <c r="G51" i="27" s="1"/>
  <c r="J57" i="9" s="1"/>
  <c r="I51" i="27"/>
  <c r="Y216" i="26" l="1"/>
  <c r="AK216" i="26" s="1"/>
  <c r="M56" i="9"/>
  <c r="M53" i="28" s="1"/>
  <c r="N216" i="39"/>
  <c r="O216" i="39" s="1"/>
  <c r="L59" i="9" s="1"/>
  <c r="K56" i="28" s="1"/>
  <c r="AU51" i="27"/>
  <c r="AY50" i="27" s="1"/>
  <c r="BC50" i="27" s="1"/>
  <c r="BG50" i="27" s="1"/>
  <c r="BW53" i="28" s="1"/>
  <c r="AB53" i="27"/>
  <c r="AW53" i="27" s="1"/>
  <c r="AE53" i="27"/>
  <c r="AC53" i="27" s="1"/>
  <c r="AJ55" i="28"/>
  <c r="AK55" i="28"/>
  <c r="J217" i="26" a="1"/>
  <c r="J217" i="26" s="1"/>
  <c r="V217" i="26" s="1"/>
  <c r="I217" i="26" a="1"/>
  <c r="I217" i="26" s="1"/>
  <c r="U217" i="26" s="1"/>
  <c r="H217" i="26" a="1"/>
  <c r="H217" i="26" s="1"/>
  <c r="T217" i="26" s="1"/>
  <c r="G217" i="26" a="1"/>
  <c r="G217" i="26" s="1"/>
  <c r="F217" i="26" a="1"/>
  <c r="F217" i="26" s="1"/>
  <c r="K217" i="26" a="1"/>
  <c r="K217" i="26" s="1"/>
  <c r="W217" i="26" s="1"/>
  <c r="L217" i="26" a="1"/>
  <c r="L217" i="26" s="1"/>
  <c r="X217" i="26" s="1"/>
  <c r="M217" i="26" a="1"/>
  <c r="M217" i="26" s="1"/>
  <c r="AE59" i="9"/>
  <c r="AJ53" i="27" s="1"/>
  <c r="AK53" i="27"/>
  <c r="I57" i="9"/>
  <c r="AR51" i="27"/>
  <c r="AS51" i="27" s="1"/>
  <c r="AT51" i="27" s="1"/>
  <c r="AP54" i="27"/>
  <c r="Z54" i="27"/>
  <c r="Q54" i="27"/>
  <c r="S54" i="27" s="1"/>
  <c r="AD54" i="27"/>
  <c r="AZ54" i="27"/>
  <c r="BD54" i="27" s="1"/>
  <c r="V54" i="27"/>
  <c r="P54" i="27"/>
  <c r="R54" i="27" s="1"/>
  <c r="AH54" i="27"/>
  <c r="BA54" i="27"/>
  <c r="BE54" i="27" s="1"/>
  <c r="D54" i="27"/>
  <c r="BB54" i="27"/>
  <c r="BF54" i="27" s="1"/>
  <c r="AM52" i="27"/>
  <c r="AN52" i="27" s="1"/>
  <c r="W57" i="28" a="1"/>
  <c r="W57" i="28" s="1"/>
  <c r="S57" i="28" a="1"/>
  <c r="S57" i="28" s="1"/>
  <c r="U57" i="28" a="1"/>
  <c r="U57" i="28" s="1"/>
  <c r="CC57" i="28"/>
  <c r="O57" i="28" a="1"/>
  <c r="O57" i="28" s="1"/>
  <c r="Q57" i="28" a="1"/>
  <c r="Q57" i="28" s="1"/>
  <c r="F52" i="27"/>
  <c r="AG53" i="27"/>
  <c r="AF53" i="27"/>
  <c r="AX53" i="27" s="1"/>
  <c r="AI53" i="27"/>
  <c r="U52" i="27"/>
  <c r="G52" i="27" s="1"/>
  <c r="J58" i="9" s="1"/>
  <c r="I52" i="27"/>
  <c r="C218" i="39"/>
  <c r="C62" i="9"/>
  <c r="K61" i="9"/>
  <c r="F61" i="9"/>
  <c r="AF61" i="9"/>
  <c r="AD61" i="9"/>
  <c r="C218" i="26"/>
  <c r="G61" i="9" a="1"/>
  <c r="G61" i="9" s="1"/>
  <c r="J58" i="28" s="1"/>
  <c r="E55" i="27"/>
  <c r="AM61" i="9"/>
  <c r="AK62" i="9" s="1"/>
  <c r="D61" i="9"/>
  <c r="A61" i="9" s="1"/>
  <c r="AL61" i="9"/>
  <c r="AG60" i="9" a="1"/>
  <c r="AG60" i="9" s="1"/>
  <c r="X56" i="28"/>
  <c r="AC56" i="28" s="1"/>
  <c r="AH56" i="28" s="1"/>
  <c r="Y56" i="28"/>
  <c r="AD56" i="28" s="1"/>
  <c r="AI56" i="28" s="1"/>
  <c r="AA56" i="28"/>
  <c r="AF56" i="28" s="1"/>
  <c r="AX59" i="9"/>
  <c r="AW59" i="9"/>
  <c r="AA53" i="27"/>
  <c r="Y53" i="27" s="1"/>
  <c r="X53" i="27"/>
  <c r="AV53" i="27" s="1"/>
  <c r="AN57" i="28"/>
  <c r="AL57" i="28"/>
  <c r="AM57" i="28"/>
  <c r="AJ57" i="28"/>
  <c r="AT57" i="28"/>
  <c r="BK57" i="28"/>
  <c r="BJ57" i="28"/>
  <c r="AV57" i="28"/>
  <c r="BH57" i="28"/>
  <c r="AX57" i="28"/>
  <c r="AR57" i="28"/>
  <c r="BA57" i="28"/>
  <c r="BD57" i="28"/>
  <c r="AY57" i="28"/>
  <c r="BB57" i="28"/>
  <c r="AP57" i="28"/>
  <c r="AH57" i="28"/>
  <c r="AI57" i="28"/>
  <c r="AK57" i="28"/>
  <c r="AU57" i="28"/>
  <c r="BI57" i="28"/>
  <c r="BC57" i="28"/>
  <c r="BF57" i="28"/>
  <c r="BG57" i="28"/>
  <c r="AQ57" i="28"/>
  <c r="AS57" i="28"/>
  <c r="BL57" i="28"/>
  <c r="AZ57" i="28"/>
  <c r="BT57" i="28"/>
  <c r="BV57" i="28"/>
  <c r="T53" i="27"/>
  <c r="H53" i="27"/>
  <c r="W53" i="27"/>
  <c r="AJ61" i="9"/>
  <c r="M217" i="39" a="1"/>
  <c r="M217" i="39" s="1"/>
  <c r="H217" i="39" a="1"/>
  <c r="H217" i="39" s="1"/>
  <c r="I217" i="39" a="1"/>
  <c r="I217" i="39" s="1"/>
  <c r="L217" i="39" a="1"/>
  <c r="L217" i="39" s="1"/>
  <c r="J217" i="39" a="1"/>
  <c r="J217" i="39" s="1"/>
  <c r="K217" i="39" a="1"/>
  <c r="K217" i="39" s="1"/>
  <c r="F217" i="39" a="1"/>
  <c r="F217" i="39" s="1"/>
  <c r="G217" i="39" a="1"/>
  <c r="G217" i="39" s="1"/>
  <c r="AT60" i="9"/>
  <c r="AU60" i="9"/>
  <c r="AH60" i="9"/>
  <c r="AI60" i="9" s="1"/>
  <c r="AL54" i="27"/>
  <c r="H57" i="28"/>
  <c r="BU57" i="28" s="1"/>
  <c r="Y217" i="26" l="1"/>
  <c r="AK217" i="26" s="1"/>
  <c r="N217" i="39"/>
  <c r="O217" i="39" s="1"/>
  <c r="L60" i="9" s="1"/>
  <c r="K57" i="28" s="1"/>
  <c r="M57" i="9"/>
  <c r="M54" i="28" s="1"/>
  <c r="AU52" i="27"/>
  <c r="AY51" i="27" s="1"/>
  <c r="BC51" i="27" s="1"/>
  <c r="AG61" i="9" a="1"/>
  <c r="AG61" i="9" s="1"/>
  <c r="AE61" i="9" s="1"/>
  <c r="AJ55" i="27" s="1"/>
  <c r="BG51" i="27"/>
  <c r="BW54" i="28" s="1"/>
  <c r="AE54" i="27"/>
  <c r="AC54" i="27" s="1"/>
  <c r="AB54" i="27"/>
  <c r="AW54" i="27" s="1"/>
  <c r="AU61" i="9"/>
  <c r="AH61" i="9"/>
  <c r="AI61" i="9" s="1"/>
  <c r="AT61" i="9"/>
  <c r="H58" i="28"/>
  <c r="AU58" i="28" s="1"/>
  <c r="AL55" i="27"/>
  <c r="T54" i="27"/>
  <c r="H54" i="27"/>
  <c r="W54" i="27"/>
  <c r="I58" i="9"/>
  <c r="AR52" i="27"/>
  <c r="AS52" i="27" s="1"/>
  <c r="AT52" i="27" s="1"/>
  <c r="AP55" i="27"/>
  <c r="BA55" i="27"/>
  <c r="BE55" i="27" s="1"/>
  <c r="V55" i="27"/>
  <c r="P55" i="27"/>
  <c r="R55" i="27" s="1"/>
  <c r="D55" i="27"/>
  <c r="BB55" i="27"/>
  <c r="BF55" i="27" s="1"/>
  <c r="Z55" i="27"/>
  <c r="AH55" i="27"/>
  <c r="Q55" i="27"/>
  <c r="S55" i="27" s="1"/>
  <c r="AD55" i="27"/>
  <c r="BB58" i="28"/>
  <c r="AN58" i="28"/>
  <c r="BS58" i="28"/>
  <c r="AY58" i="28"/>
  <c r="BV58" i="28"/>
  <c r="BF58" i="28"/>
  <c r="BA58" i="28"/>
  <c r="AI58" i="28"/>
  <c r="BL58" i="28"/>
  <c r="BH58" i="28"/>
  <c r="BI58" i="28"/>
  <c r="BO58" i="28"/>
  <c r="AJ58" i="28"/>
  <c r="AL58" i="28"/>
  <c r="BT58" i="28"/>
  <c r="AX58" i="28"/>
  <c r="BQ58" i="28"/>
  <c r="BU58" i="28"/>
  <c r="BR58" i="28"/>
  <c r="AH58" i="28"/>
  <c r="BP58" i="28"/>
  <c r="AM58" i="28"/>
  <c r="AK58" i="28"/>
  <c r="BC58" i="28"/>
  <c r="BK58" i="28"/>
  <c r="AZ58" i="28"/>
  <c r="BN57" i="28"/>
  <c r="BD58" i="28"/>
  <c r="BG58" i="28"/>
  <c r="BJ58" i="28"/>
  <c r="AT58" i="28"/>
  <c r="AK55" i="27"/>
  <c r="AJ62" i="9"/>
  <c r="I53" i="27"/>
  <c r="U53" i="27"/>
  <c r="G53" i="27" s="1"/>
  <c r="J59" i="9" s="1"/>
  <c r="I218" i="26" a="1"/>
  <c r="I218" i="26" s="1"/>
  <c r="U218" i="26" s="1"/>
  <c r="G218" i="26" a="1"/>
  <c r="G218" i="26" s="1"/>
  <c r="K218" i="26" a="1"/>
  <c r="K218" i="26" s="1"/>
  <c r="W218" i="26" s="1"/>
  <c r="H218" i="26" a="1"/>
  <c r="H218" i="26" s="1"/>
  <c r="T218" i="26" s="1"/>
  <c r="J218" i="26" a="1"/>
  <c r="J218" i="26" s="1"/>
  <c r="V218" i="26" s="1"/>
  <c r="F218" i="26" a="1"/>
  <c r="F218" i="26" s="1"/>
  <c r="L218" i="26" a="1"/>
  <c r="L218" i="26" s="1"/>
  <c r="X218" i="26" s="1"/>
  <c r="M218" i="26" a="1"/>
  <c r="M218" i="26" s="1"/>
  <c r="Y57" i="28"/>
  <c r="AD57" i="28" s="1"/>
  <c r="BQ57" i="28" s="1"/>
  <c r="AA57" i="28"/>
  <c r="AF57" i="28" s="1"/>
  <c r="X57" i="28"/>
  <c r="BN56" i="28"/>
  <c r="AM53" i="27"/>
  <c r="AN53" i="27" s="1"/>
  <c r="AJ56" i="28"/>
  <c r="AK56" i="28"/>
  <c r="F53" i="27"/>
  <c r="AE60" i="9"/>
  <c r="AJ54" i="27" s="1"/>
  <c r="AK54" i="27"/>
  <c r="AI54" i="27"/>
  <c r="AF54" i="27"/>
  <c r="AX54" i="27" s="1"/>
  <c r="AG54" i="27"/>
  <c r="AX60" i="9"/>
  <c r="AW60" i="9"/>
  <c r="CC58" i="28"/>
  <c r="U58" i="28" a="1"/>
  <c r="U58" i="28" s="1"/>
  <c r="W58" i="28" a="1"/>
  <c r="W58" i="28" s="1"/>
  <c r="S58" i="28" a="1"/>
  <c r="S58" i="28" s="1"/>
  <c r="O58" i="28" a="1"/>
  <c r="O58" i="28" s="1"/>
  <c r="Q58" i="28" a="1"/>
  <c r="Q58" i="28" s="1"/>
  <c r="BO57" i="28"/>
  <c r="AA54" i="27"/>
  <c r="Y54" i="27" s="1"/>
  <c r="X54" i="27"/>
  <c r="AO52" i="27"/>
  <c r="C219" i="39"/>
  <c r="G62" i="9" a="1"/>
  <c r="G62" i="9" s="1"/>
  <c r="J59" i="28" s="1"/>
  <c r="F62" i="9"/>
  <c r="C219" i="26"/>
  <c r="AF62" i="9"/>
  <c r="AD62" i="9"/>
  <c r="K62" i="9"/>
  <c r="E56" i="27"/>
  <c r="C63" i="9"/>
  <c r="AM62" i="9"/>
  <c r="AK63" i="9" s="1"/>
  <c r="D62" i="9"/>
  <c r="A62" i="9" s="1"/>
  <c r="AL62" i="9"/>
  <c r="L218" i="39" a="1"/>
  <c r="L218" i="39" s="1"/>
  <c r="J218" i="39" a="1"/>
  <c r="J218" i="39" s="1"/>
  <c r="M218" i="39" a="1"/>
  <c r="M218" i="39" s="1"/>
  <c r="K218" i="39" a="1"/>
  <c r="K218" i="39" s="1"/>
  <c r="I218" i="39" a="1"/>
  <c r="I218" i="39" s="1"/>
  <c r="H218" i="39" a="1"/>
  <c r="H218" i="39" s="1"/>
  <c r="F218" i="39" a="1"/>
  <c r="F218" i="39" s="1"/>
  <c r="G218" i="39" a="1"/>
  <c r="G218" i="39" s="1"/>
  <c r="Y218" i="26" l="1"/>
  <c r="AK218" i="26" s="1"/>
  <c r="N218" i="39"/>
  <c r="O218" i="39" s="1"/>
  <c r="L61" i="9" s="1"/>
  <c r="K58" i="28" s="1"/>
  <c r="AU53" i="27"/>
  <c r="AY52" i="27" s="1"/>
  <c r="BC52" i="27" s="1"/>
  <c r="BG52" i="27" s="1"/>
  <c r="BW55" i="28" s="1"/>
  <c r="M58" i="9"/>
  <c r="M55" i="28" s="1"/>
  <c r="AG62" i="9" a="1"/>
  <c r="AG62" i="9" s="1"/>
  <c r="AE62" i="9" s="1"/>
  <c r="AJ56" i="27" s="1"/>
  <c r="AM54" i="27"/>
  <c r="AN54" i="27" s="1"/>
  <c r="AL56" i="27"/>
  <c r="H59" i="28"/>
  <c r="AU59" i="28" s="1"/>
  <c r="AH62" i="9"/>
  <c r="AI62" i="9" s="1"/>
  <c r="AT62" i="9"/>
  <c r="AU62" i="9"/>
  <c r="I54" i="27"/>
  <c r="U54" i="27"/>
  <c r="G54" i="27" s="1"/>
  <c r="J60" i="9" s="1"/>
  <c r="X58" i="28"/>
  <c r="AC58" i="28" s="1"/>
  <c r="AP58" i="28" s="1"/>
  <c r="AA58" i="28"/>
  <c r="AF58" i="28" s="1"/>
  <c r="Y58" i="28"/>
  <c r="AD58" i="28" s="1"/>
  <c r="AQ58" i="28" s="1"/>
  <c r="I59" i="9"/>
  <c r="AR53" i="27"/>
  <c r="AS53" i="27" s="1"/>
  <c r="AT53" i="27" s="1"/>
  <c r="C220" i="39"/>
  <c r="AF63" i="9"/>
  <c r="AD63" i="9"/>
  <c r="K63" i="9"/>
  <c r="C64" i="9"/>
  <c r="F63" i="9"/>
  <c r="G63" i="9" a="1"/>
  <c r="G63" i="9" s="1"/>
  <c r="J60" i="28" s="1"/>
  <c r="E57" i="27"/>
  <c r="C220" i="26"/>
  <c r="AM63" i="9"/>
  <c r="AK64" i="9" s="1"/>
  <c r="AL63" i="9"/>
  <c r="D63" i="9"/>
  <c r="A63" i="9" s="1"/>
  <c r="AI55" i="27"/>
  <c r="AG55" i="27"/>
  <c r="AF55" i="27"/>
  <c r="AX55" i="27" s="1"/>
  <c r="AA55" i="27"/>
  <c r="Y55" i="27" s="1"/>
  <c r="X55" i="27"/>
  <c r="G219" i="26" a="1"/>
  <c r="G219" i="26" s="1"/>
  <c r="L219" i="26" a="1"/>
  <c r="L219" i="26" s="1"/>
  <c r="X219" i="26" s="1"/>
  <c r="J219" i="26" a="1"/>
  <c r="J219" i="26" s="1"/>
  <c r="V219" i="26" s="1"/>
  <c r="I219" i="26" a="1"/>
  <c r="I219" i="26" s="1"/>
  <c r="U219" i="26" s="1"/>
  <c r="F219" i="26" a="1"/>
  <c r="F219" i="26" s="1"/>
  <c r="H219" i="26" a="1"/>
  <c r="H219" i="26" s="1"/>
  <c r="T219" i="26" s="1"/>
  <c r="K219" i="26" a="1"/>
  <c r="K219" i="26" s="1"/>
  <c r="W219" i="26" s="1"/>
  <c r="M219" i="26" a="1"/>
  <c r="M219" i="26" s="1"/>
  <c r="AV54" i="27"/>
  <c r="W59" i="28" a="1"/>
  <c r="W59" i="28" s="1"/>
  <c r="S59" i="28" a="1"/>
  <c r="S59" i="28" s="1"/>
  <c r="Q59" i="28" a="1"/>
  <c r="Q59" i="28" s="1"/>
  <c r="CC59" i="28"/>
  <c r="O59" i="28" a="1"/>
  <c r="O59" i="28" s="1"/>
  <c r="U59" i="28" a="1"/>
  <c r="U59" i="28" s="1"/>
  <c r="AC57" i="28"/>
  <c r="BP57" i="28"/>
  <c r="AI59" i="28"/>
  <c r="BO59" i="28"/>
  <c r="BF59" i="28"/>
  <c r="BA59" i="28"/>
  <c r="BT59" i="28"/>
  <c r="BR59" i="28"/>
  <c r="AN59" i="28"/>
  <c r="BP59" i="28"/>
  <c r="BV59" i="28"/>
  <c r="AL59" i="28"/>
  <c r="AY59" i="28"/>
  <c r="AZ59" i="28"/>
  <c r="AJ59" i="28"/>
  <c r="BH59" i="28"/>
  <c r="BI59" i="28"/>
  <c r="BN58" i="28"/>
  <c r="AK59" i="28"/>
  <c r="BC59" i="28"/>
  <c r="BS59" i="28"/>
  <c r="BG59" i="28"/>
  <c r="BJ59" i="28"/>
  <c r="BK59" i="28"/>
  <c r="AM59" i="28"/>
  <c r="AX59" i="28"/>
  <c r="BU59" i="28"/>
  <c r="BL59" i="28"/>
  <c r="BD59" i="28"/>
  <c r="BQ59" i="28"/>
  <c r="AH59" i="28"/>
  <c r="BB59" i="28"/>
  <c r="AT59" i="28"/>
  <c r="AJ63" i="9"/>
  <c r="AK56" i="27"/>
  <c r="BS57" i="28"/>
  <c r="BR57" i="28"/>
  <c r="M219" i="39" a="1"/>
  <c r="M219" i="39" s="1"/>
  <c r="I219" i="39" a="1"/>
  <c r="I219" i="39" s="1"/>
  <c r="K219" i="39" a="1"/>
  <c r="K219" i="39" s="1"/>
  <c r="H219" i="39" a="1"/>
  <c r="H219" i="39" s="1"/>
  <c r="L219" i="39" a="1"/>
  <c r="L219" i="39" s="1"/>
  <c r="J219" i="39" a="1"/>
  <c r="J219" i="39" s="1"/>
  <c r="F219" i="39" a="1"/>
  <c r="F219" i="39" s="1"/>
  <c r="G219" i="39" a="1"/>
  <c r="G219" i="39" s="1"/>
  <c r="H55" i="27"/>
  <c r="W55" i="27"/>
  <c r="T55" i="27"/>
  <c r="F54" i="27"/>
  <c r="AP56" i="27"/>
  <c r="BB56" i="27"/>
  <c r="BF56" i="27" s="1"/>
  <c r="BA56" i="27"/>
  <c r="BE56" i="27" s="1"/>
  <c r="AD56" i="27"/>
  <c r="AH56" i="27"/>
  <c r="Z56" i="27"/>
  <c r="V56" i="27"/>
  <c r="Q56" i="27"/>
  <c r="S56" i="27" s="1"/>
  <c r="D56" i="27"/>
  <c r="P56" i="27"/>
  <c r="R56" i="27" s="1"/>
  <c r="AO53" i="27"/>
  <c r="AB55" i="27"/>
  <c r="AW55" i="27" s="1"/>
  <c r="AE55" i="27"/>
  <c r="AC55" i="27" s="1"/>
  <c r="AX61" i="9"/>
  <c r="AW61" i="9"/>
  <c r="AM55" i="27"/>
  <c r="AN55" i="27" s="1"/>
  <c r="Y219" i="26" l="1"/>
  <c r="AK219" i="26" s="1"/>
  <c r="AU54" i="27"/>
  <c r="AY53" i="27" s="1"/>
  <c r="BC53" i="27" s="1"/>
  <c r="BG53" i="27" s="1"/>
  <c r="BW56" i="28" s="1"/>
  <c r="N219" i="39"/>
  <c r="O219" i="39" s="1"/>
  <c r="L62" i="9" s="1"/>
  <c r="K59" i="28" s="1"/>
  <c r="M59" i="9"/>
  <c r="M56" i="28" s="1"/>
  <c r="BX57" i="28"/>
  <c r="AJ64" i="9"/>
  <c r="F55" i="27"/>
  <c r="H60" i="28"/>
  <c r="AU60" i="28" s="1"/>
  <c r="AU63" i="9"/>
  <c r="AL57" i="27"/>
  <c r="AH63" i="9"/>
  <c r="AI63" i="9" s="1"/>
  <c r="AT63" i="9"/>
  <c r="AS58" i="28"/>
  <c r="AR58" i="28"/>
  <c r="AF56" i="27"/>
  <c r="AX56" i="27" s="1"/>
  <c r="AG56" i="27"/>
  <c r="AI56" i="27"/>
  <c r="U55" i="27"/>
  <c r="G55" i="27" s="1"/>
  <c r="J61" i="9" s="1"/>
  <c r="I55" i="27"/>
  <c r="G220" i="26" a="1"/>
  <c r="G220" i="26" s="1"/>
  <c r="J220" i="26" a="1"/>
  <c r="J220" i="26" s="1"/>
  <c r="V220" i="26" s="1"/>
  <c r="L220" i="26" a="1"/>
  <c r="L220" i="26" s="1"/>
  <c r="X220" i="26" s="1"/>
  <c r="I220" i="26" a="1"/>
  <c r="I220" i="26" s="1"/>
  <c r="U220" i="26" s="1"/>
  <c r="H220" i="26" a="1"/>
  <c r="H220" i="26" s="1"/>
  <c r="T220" i="26" s="1"/>
  <c r="F220" i="26" a="1"/>
  <c r="F220" i="26" s="1"/>
  <c r="K220" i="26" a="1"/>
  <c r="K220" i="26" s="1"/>
  <c r="W220" i="26" s="1"/>
  <c r="M220" i="26" a="1"/>
  <c r="M220" i="26" s="1"/>
  <c r="AX62" i="9"/>
  <c r="AW62" i="9"/>
  <c r="W56" i="27"/>
  <c r="T56" i="27"/>
  <c r="H56" i="27"/>
  <c r="O60" i="28" a="1"/>
  <c r="O60" i="28" s="1"/>
  <c r="U60" i="28" a="1"/>
  <c r="U60" i="28" s="1"/>
  <c r="CC60" i="28"/>
  <c r="Q60" i="28" a="1"/>
  <c r="Q60" i="28" s="1"/>
  <c r="W60" i="28" a="1"/>
  <c r="W60" i="28" s="1"/>
  <c r="S60" i="28" a="1"/>
  <c r="S60" i="28" s="1"/>
  <c r="AB56" i="27"/>
  <c r="AW56" i="27" s="1"/>
  <c r="AE56" i="27"/>
  <c r="AC56" i="27" s="1"/>
  <c r="C221" i="39"/>
  <c r="AF64" i="9"/>
  <c r="AD64" i="9"/>
  <c r="F64" i="9"/>
  <c r="C221" i="26"/>
  <c r="K64" i="9"/>
  <c r="C65" i="9"/>
  <c r="E58" i="27"/>
  <c r="G64" i="9" a="1"/>
  <c r="G64" i="9" s="1"/>
  <c r="J61" i="28" s="1"/>
  <c r="AM64" i="9"/>
  <c r="AK65" i="9" s="1"/>
  <c r="D64" i="9"/>
  <c r="A64" i="9" s="1"/>
  <c r="AL64" i="9"/>
  <c r="I60" i="9"/>
  <c r="AR54" i="27"/>
  <c r="AS54" i="27" s="1"/>
  <c r="AT54" i="27" s="1"/>
  <c r="K220" i="39" a="1"/>
  <c r="K220" i="39" s="1"/>
  <c r="M220" i="39" a="1"/>
  <c r="M220" i="39" s="1"/>
  <c r="L220" i="39" a="1"/>
  <c r="L220" i="39" s="1"/>
  <c r="J220" i="39" a="1"/>
  <c r="J220" i="39" s="1"/>
  <c r="I220" i="39" a="1"/>
  <c r="I220" i="39" s="1"/>
  <c r="H220" i="39" a="1"/>
  <c r="H220" i="39" s="1"/>
  <c r="F220" i="39" a="1"/>
  <c r="F220" i="39" s="1"/>
  <c r="G220" i="39" a="1"/>
  <c r="G220" i="39" s="1"/>
  <c r="P57" i="27"/>
  <c r="R57" i="27" s="1"/>
  <c r="BA57" i="27"/>
  <c r="BE57" i="27" s="1"/>
  <c r="Q57" i="27"/>
  <c r="S57" i="27" s="1"/>
  <c r="AY57" i="27"/>
  <c r="BC57" i="27" s="1"/>
  <c r="AP57" i="27"/>
  <c r="V57" i="27"/>
  <c r="D57" i="27"/>
  <c r="AD57" i="27"/>
  <c r="AH57" i="27"/>
  <c r="BB57" i="27"/>
  <c r="BF57" i="27" s="1"/>
  <c r="Z57" i="27"/>
  <c r="AA56" i="27"/>
  <c r="Y56" i="27" s="1"/>
  <c r="X56" i="27"/>
  <c r="AO54" i="27"/>
  <c r="AA59" i="28"/>
  <c r="AF59" i="28" s="1"/>
  <c r="X59" i="28"/>
  <c r="AC59" i="28" s="1"/>
  <c r="AP59" i="28" s="1"/>
  <c r="Y59" i="28"/>
  <c r="AD59" i="28" s="1"/>
  <c r="AQ59" i="28" s="1"/>
  <c r="AG63" i="9" a="1"/>
  <c r="AG63" i="9" s="1"/>
  <c r="BG60" i="28"/>
  <c r="BT60" i="28"/>
  <c r="BC60" i="28"/>
  <c r="AY60" i="28"/>
  <c r="BB60" i="28"/>
  <c r="AN60" i="28"/>
  <c r="BQ60" i="28"/>
  <c r="BH60" i="28"/>
  <c r="AZ60" i="28"/>
  <c r="BA60" i="28"/>
  <c r="AI60" i="28"/>
  <c r="BO60" i="28"/>
  <c r="BP60" i="28"/>
  <c r="AT60" i="28"/>
  <c r="BN59" i="28"/>
  <c r="BI60" i="28"/>
  <c r="BU60" i="28"/>
  <c r="BJ60" i="28"/>
  <c r="BF60" i="28"/>
  <c r="BK60" i="28"/>
  <c r="BR60" i="28"/>
  <c r="AX60" i="28"/>
  <c r="AM60" i="28"/>
  <c r="AL60" i="28"/>
  <c r="BD60" i="28"/>
  <c r="AJ60" i="28"/>
  <c r="BS60" i="28"/>
  <c r="BL60" i="28"/>
  <c r="BV60" i="28"/>
  <c r="AK60" i="28"/>
  <c r="AH60" i="28"/>
  <c r="AM56" i="27"/>
  <c r="AN56" i="27" s="1"/>
  <c r="AV55" i="27"/>
  <c r="Y220" i="26" l="1"/>
  <c r="AK220" i="26" s="1"/>
  <c r="N220" i="39"/>
  <c r="O220" i="39" s="1"/>
  <c r="L63" i="9" s="1"/>
  <c r="K60" i="28" s="1"/>
  <c r="M60" i="9"/>
  <c r="M57" i="28" s="1"/>
  <c r="AI57" i="27"/>
  <c r="AF57" i="27"/>
  <c r="AX57" i="27" s="1"/>
  <c r="AG57" i="27"/>
  <c r="AB57" i="27"/>
  <c r="AW57" i="27" s="1"/>
  <c r="AE57" i="27"/>
  <c r="AC57" i="27" s="1"/>
  <c r="AS59" i="28"/>
  <c r="AR59" i="28"/>
  <c r="Q61" i="28" a="1"/>
  <c r="Q61" i="28" s="1"/>
  <c r="S61" i="28" a="1"/>
  <c r="S61" i="28" s="1"/>
  <c r="CC61" i="28"/>
  <c r="W61" i="28" a="1"/>
  <c r="W61" i="28" s="1"/>
  <c r="U61" i="28" a="1"/>
  <c r="U61" i="28" s="1"/>
  <c r="O61" i="28" a="1"/>
  <c r="O61" i="28" s="1"/>
  <c r="Y60" i="28"/>
  <c r="AD60" i="28" s="1"/>
  <c r="AQ60" i="28" s="1"/>
  <c r="X60" i="28"/>
  <c r="AC60" i="28" s="1"/>
  <c r="AP60" i="28" s="1"/>
  <c r="AA60" i="28"/>
  <c r="AF60" i="28" s="1"/>
  <c r="AY58" i="27"/>
  <c r="BC58" i="27" s="1"/>
  <c r="AH58" i="27"/>
  <c r="AP58" i="27"/>
  <c r="AD58" i="27"/>
  <c r="Z58" i="27"/>
  <c r="BB58" i="27"/>
  <c r="BF58" i="27" s="1"/>
  <c r="P58" i="27"/>
  <c r="R58" i="27" s="1"/>
  <c r="Q58" i="27"/>
  <c r="S58" i="27" s="1"/>
  <c r="V58" i="27"/>
  <c r="D58" i="27"/>
  <c r="BA58" i="27"/>
  <c r="BE58" i="27" s="1"/>
  <c r="AA57" i="27"/>
  <c r="Y57" i="27" s="1"/>
  <c r="X57" i="27"/>
  <c r="I221" i="26" a="1"/>
  <c r="I221" i="26" s="1"/>
  <c r="U221" i="26" s="1"/>
  <c r="J221" i="26" a="1"/>
  <c r="J221" i="26" s="1"/>
  <c r="V221" i="26" s="1"/>
  <c r="H221" i="26" a="1"/>
  <c r="H221" i="26" s="1"/>
  <c r="T221" i="26" s="1"/>
  <c r="F221" i="26" a="1"/>
  <c r="F221" i="26" s="1"/>
  <c r="G221" i="26" a="1"/>
  <c r="G221" i="26" s="1"/>
  <c r="L221" i="26" a="1"/>
  <c r="L221" i="26" s="1"/>
  <c r="X221" i="26" s="1"/>
  <c r="K221" i="26" a="1"/>
  <c r="K221" i="26" s="1"/>
  <c r="W221" i="26" s="1"/>
  <c r="M221" i="26" a="1"/>
  <c r="M221" i="26" s="1"/>
  <c r="L221" i="39" a="1"/>
  <c r="L221" i="39" s="1"/>
  <c r="J221" i="39" a="1"/>
  <c r="J221" i="39" s="1"/>
  <c r="M221" i="39" a="1"/>
  <c r="M221" i="39" s="1"/>
  <c r="I221" i="39" a="1"/>
  <c r="I221" i="39" s="1"/>
  <c r="H221" i="39" a="1"/>
  <c r="H221" i="39" s="1"/>
  <c r="K221" i="39" a="1"/>
  <c r="K221" i="39" s="1"/>
  <c r="F221" i="39" a="1"/>
  <c r="F221" i="39" s="1"/>
  <c r="G221" i="39" a="1"/>
  <c r="G221" i="39" s="1"/>
  <c r="W57" i="27"/>
  <c r="H57" i="27"/>
  <c r="T57" i="27"/>
  <c r="AK57" i="27"/>
  <c r="AE63" i="9"/>
  <c r="AJ57" i="27" s="1"/>
  <c r="AJ65" i="9"/>
  <c r="AY61" i="28"/>
  <c r="BB61" i="28"/>
  <c r="AL61" i="28"/>
  <c r="AJ61" i="28"/>
  <c r="BP61" i="28"/>
  <c r="BC61" i="28"/>
  <c r="BA61" i="28"/>
  <c r="BG61" i="28"/>
  <c r="BO61" i="28"/>
  <c r="BJ61" i="28"/>
  <c r="BF61" i="28"/>
  <c r="AN61" i="28"/>
  <c r="AH61" i="28"/>
  <c r="BV61" i="28"/>
  <c r="BH61" i="28"/>
  <c r="AX61" i="28"/>
  <c r="BQ61" i="28"/>
  <c r="BK61" i="28"/>
  <c r="BS61" i="28"/>
  <c r="BI61" i="28"/>
  <c r="AZ61" i="28"/>
  <c r="BU61" i="28"/>
  <c r="BN60" i="28"/>
  <c r="AM61" i="28"/>
  <c r="AK61" i="28"/>
  <c r="AI61" i="28"/>
  <c r="BL61" i="28"/>
  <c r="BD61" i="28"/>
  <c r="BR61" i="28"/>
  <c r="BT61" i="28"/>
  <c r="AT61" i="28"/>
  <c r="AX63" i="9"/>
  <c r="AW63" i="9"/>
  <c r="I61" i="9"/>
  <c r="AR55" i="27"/>
  <c r="AS55" i="27" s="1"/>
  <c r="AT55" i="27" s="1"/>
  <c r="H61" i="28"/>
  <c r="AU61" i="28" s="1"/>
  <c r="AL58" i="27"/>
  <c r="AH64" i="9"/>
  <c r="AI64" i="9" s="1"/>
  <c r="AT64" i="9"/>
  <c r="AU64" i="9"/>
  <c r="C222" i="39"/>
  <c r="K65" i="9"/>
  <c r="C66" i="9"/>
  <c r="E59" i="27"/>
  <c r="C222" i="26"/>
  <c r="G65" i="9" a="1"/>
  <c r="G65" i="9" s="1"/>
  <c r="J62" i="28" s="1"/>
  <c r="AD65" i="9"/>
  <c r="AF65" i="9"/>
  <c r="F65" i="9"/>
  <c r="AM65" i="9"/>
  <c r="AK66" i="9" s="1"/>
  <c r="AL65" i="9"/>
  <c r="D65" i="9"/>
  <c r="A65" i="9" s="1"/>
  <c r="F56" i="27"/>
  <c r="AU55" i="27"/>
  <c r="AV56" i="27"/>
  <c r="AZ55" i="27" s="1"/>
  <c r="BD55" i="27" s="1"/>
  <c r="U56" i="27"/>
  <c r="G56" i="27" s="1"/>
  <c r="J62" i="9" s="1"/>
  <c r="I56" i="27"/>
  <c r="AG64" i="9" a="1"/>
  <c r="AG64" i="9" s="1"/>
  <c r="AO55" i="27"/>
  <c r="AM57" i="27" l="1"/>
  <c r="AN57" i="27" s="1"/>
  <c r="Y221" i="26"/>
  <c r="AK221" i="26" s="1"/>
  <c r="AU56" i="27"/>
  <c r="N221" i="39"/>
  <c r="O221" i="39" s="1"/>
  <c r="L64" i="9" s="1"/>
  <c r="K61" i="28" s="1"/>
  <c r="M61" i="9"/>
  <c r="M58" i="28" s="1"/>
  <c r="AJ66" i="9"/>
  <c r="M222" i="39" a="1"/>
  <c r="M222" i="39" s="1"/>
  <c r="L222" i="39" a="1"/>
  <c r="L222" i="39" s="1"/>
  <c r="K222" i="39" a="1"/>
  <c r="K222" i="39" s="1"/>
  <c r="J222" i="39" a="1"/>
  <c r="J222" i="39" s="1"/>
  <c r="I222" i="39" a="1"/>
  <c r="I222" i="39" s="1"/>
  <c r="H222" i="39" a="1"/>
  <c r="H222" i="39" s="1"/>
  <c r="F222" i="39" a="1"/>
  <c r="F222" i="39" s="1"/>
  <c r="G222" i="39" a="1"/>
  <c r="G222" i="39" s="1"/>
  <c r="T58" i="27"/>
  <c r="H58" i="27"/>
  <c r="W58" i="27"/>
  <c r="AU65" i="9"/>
  <c r="AL59" i="27"/>
  <c r="AT65" i="9"/>
  <c r="H62" i="28"/>
  <c r="AU62" i="28" s="1"/>
  <c r="AH65" i="9"/>
  <c r="AI65" i="9" s="1"/>
  <c r="BJ62" i="28"/>
  <c r="BT62" i="28"/>
  <c r="BU62" i="28"/>
  <c r="BK62" i="28"/>
  <c r="BH62" i="28"/>
  <c r="BQ62" i="28"/>
  <c r="BI62" i="28"/>
  <c r="AK62" i="28"/>
  <c r="BR62" i="28"/>
  <c r="BN61" i="28"/>
  <c r="BV62" i="28"/>
  <c r="AN62" i="28"/>
  <c r="BA62" i="28"/>
  <c r="BB62" i="28"/>
  <c r="BF62" i="28"/>
  <c r="BC62" i="28"/>
  <c r="AM62" i="28"/>
  <c r="BP62" i="28"/>
  <c r="AY62" i="28"/>
  <c r="AJ62" i="28"/>
  <c r="AH62" i="28"/>
  <c r="BO62" i="28"/>
  <c r="AX62" i="28"/>
  <c r="AL62" i="28"/>
  <c r="BL62" i="28"/>
  <c r="BD62" i="28"/>
  <c r="BS62" i="28"/>
  <c r="AT62" i="28"/>
  <c r="AZ62" i="28"/>
  <c r="BG62" i="28"/>
  <c r="AI62" i="28"/>
  <c r="AG58" i="27"/>
  <c r="AI58" i="27"/>
  <c r="AF58" i="27"/>
  <c r="AX58" i="27" s="1"/>
  <c r="F222" i="26" a="1"/>
  <c r="F222" i="26" s="1"/>
  <c r="G222" i="26" a="1"/>
  <c r="G222" i="26" s="1"/>
  <c r="K222" i="26" a="1"/>
  <c r="K222" i="26" s="1"/>
  <c r="W222" i="26" s="1"/>
  <c r="J222" i="26" a="1"/>
  <c r="J222" i="26" s="1"/>
  <c r="V222" i="26" s="1"/>
  <c r="I222" i="26" a="1"/>
  <c r="I222" i="26" s="1"/>
  <c r="U222" i="26" s="1"/>
  <c r="L222" i="26" a="1"/>
  <c r="L222" i="26" s="1"/>
  <c r="X222" i="26" s="1"/>
  <c r="H222" i="26" a="1"/>
  <c r="H222" i="26" s="1"/>
  <c r="T222" i="26" s="1"/>
  <c r="M222" i="26" a="1"/>
  <c r="M222" i="26" s="1"/>
  <c r="AK58" i="27"/>
  <c r="AE64" i="9"/>
  <c r="AJ58" i="27" s="1"/>
  <c r="P59" i="27"/>
  <c r="R59" i="27" s="1"/>
  <c r="AD59" i="27"/>
  <c r="D59" i="27"/>
  <c r="AH59" i="27"/>
  <c r="V59" i="27"/>
  <c r="BB59" i="27"/>
  <c r="BF59" i="27" s="1"/>
  <c r="Q59" i="27"/>
  <c r="S59" i="27" s="1"/>
  <c r="AY59" i="27"/>
  <c r="BC59" i="27" s="1"/>
  <c r="AP59" i="27"/>
  <c r="Z59" i="27"/>
  <c r="BA59" i="27"/>
  <c r="BE59" i="27" s="1"/>
  <c r="AR60" i="28"/>
  <c r="AS60" i="28"/>
  <c r="Y61" i="28"/>
  <c r="AD61" i="28" s="1"/>
  <c r="AQ61" i="28" s="1"/>
  <c r="X61" i="28"/>
  <c r="AC61" i="28" s="1"/>
  <c r="AP61" i="28" s="1"/>
  <c r="AA61" i="28"/>
  <c r="AF61" i="28" s="1"/>
  <c r="AW64" i="9"/>
  <c r="AX64" i="9"/>
  <c r="F57" i="27"/>
  <c r="AU57" i="27"/>
  <c r="AY56" i="27" s="1"/>
  <c r="BC56" i="27" s="1"/>
  <c r="AY55" i="27"/>
  <c r="BC55" i="27" s="1"/>
  <c r="BG55" i="27" s="1"/>
  <c r="BW58" i="28" s="1"/>
  <c r="AY54" i="27"/>
  <c r="BC54" i="27" s="1"/>
  <c r="BG54" i="27" s="1"/>
  <c r="BW57" i="28" s="1"/>
  <c r="BY57" i="28" s="1"/>
  <c r="CE57" i="28" s="1"/>
  <c r="AR56" i="27"/>
  <c r="AS56" i="27" s="1"/>
  <c r="AT56" i="27" s="1"/>
  <c r="I62" i="9"/>
  <c r="AO56" i="27"/>
  <c r="U57" i="27"/>
  <c r="G57" i="27" s="1"/>
  <c r="J63" i="9" s="1"/>
  <c r="I57" i="27"/>
  <c r="AA58" i="27"/>
  <c r="Y58" i="27" s="1"/>
  <c r="X58" i="27"/>
  <c r="AV58" i="27" s="1"/>
  <c r="AE58" i="27"/>
  <c r="AC58" i="27" s="1"/>
  <c r="AB58" i="27"/>
  <c r="AW58" i="27" s="1"/>
  <c r="AG65" i="9" a="1"/>
  <c r="AG65" i="9" s="1"/>
  <c r="Q62" i="28" a="1"/>
  <c r="Q62" i="28" s="1"/>
  <c r="W62" i="28" a="1"/>
  <c r="W62" i="28" s="1"/>
  <c r="S62" i="28" a="1"/>
  <c r="S62" i="28" s="1"/>
  <c r="CC62" i="28"/>
  <c r="O62" i="28" a="1"/>
  <c r="O62" i="28" s="1"/>
  <c r="U62" i="28" a="1"/>
  <c r="U62" i="28" s="1"/>
  <c r="C223" i="39"/>
  <c r="K66" i="9"/>
  <c r="E60" i="27"/>
  <c r="C67" i="9"/>
  <c r="F66" i="9"/>
  <c r="AD66" i="9"/>
  <c r="AF66" i="9"/>
  <c r="C223" i="26"/>
  <c r="G66" i="9" a="1"/>
  <c r="G66" i="9" s="1"/>
  <c r="J63" i="28" s="1"/>
  <c r="AM66" i="9"/>
  <c r="AK67" i="9" s="1"/>
  <c r="AL66" i="9"/>
  <c r="D66" i="9"/>
  <c r="A66" i="9" s="1"/>
  <c r="AV57" i="27"/>
  <c r="AZ56" i="27" s="1"/>
  <c r="BD56" i="27" s="1"/>
  <c r="AO57" i="27" l="1"/>
  <c r="Y222" i="26"/>
  <c r="AK222" i="26" s="1"/>
  <c r="N222" i="39"/>
  <c r="O222" i="39" s="1"/>
  <c r="L65" i="9" s="1"/>
  <c r="K62" i="28" s="1"/>
  <c r="AM58" i="27"/>
  <c r="AN58" i="27" s="1"/>
  <c r="M62" i="9"/>
  <c r="M59" i="28" s="1"/>
  <c r="BG56" i="27"/>
  <c r="BW59" i="28" s="1"/>
  <c r="AZ57" i="27"/>
  <c r="BD57" i="27" s="1"/>
  <c r="BG57" i="27" s="1"/>
  <c r="BW60" i="28" s="1"/>
  <c r="AJ67" i="9"/>
  <c r="AG66" i="9" a="1"/>
  <c r="AG66" i="9" s="1"/>
  <c r="AE66" i="9" s="1"/>
  <c r="AJ60" i="27" s="1"/>
  <c r="C224" i="39"/>
  <c r="G67" i="9" a="1"/>
  <c r="G67" i="9" s="1"/>
  <c r="J64" i="28" s="1"/>
  <c r="AF67" i="9"/>
  <c r="E61" i="27"/>
  <c r="AD67" i="9"/>
  <c r="K67" i="9"/>
  <c r="F67" i="9"/>
  <c r="C224" i="26"/>
  <c r="C68" i="9"/>
  <c r="AM67" i="9"/>
  <c r="AK68" i="9" s="1"/>
  <c r="D67" i="9"/>
  <c r="A67" i="9" s="1"/>
  <c r="AL67" i="9"/>
  <c r="F58" i="27"/>
  <c r="AU58" i="27"/>
  <c r="I63" i="9"/>
  <c r="AR57" i="27"/>
  <c r="AS57" i="27" s="1"/>
  <c r="AT57" i="27" s="1"/>
  <c r="U63" i="28" a="1"/>
  <c r="U63" i="28" s="1"/>
  <c r="S63" i="28" a="1"/>
  <c r="S63" i="28" s="1"/>
  <c r="W63" i="28" a="1"/>
  <c r="W63" i="28" s="1"/>
  <c r="CC63" i="28"/>
  <c r="O63" i="28" a="1"/>
  <c r="O63" i="28" s="1"/>
  <c r="Q63" i="28" a="1"/>
  <c r="Q63" i="28" s="1"/>
  <c r="AR61" i="28"/>
  <c r="AS61" i="28"/>
  <c r="E217" i="39"/>
  <c r="E217" i="26"/>
  <c r="T59" i="27"/>
  <c r="H59" i="27"/>
  <c r="W59" i="27"/>
  <c r="U59" i="27" s="1"/>
  <c r="AD60" i="27"/>
  <c r="Z60" i="27"/>
  <c r="D60" i="27"/>
  <c r="Q60" i="27"/>
  <c r="S60" i="27" s="1"/>
  <c r="P60" i="27"/>
  <c r="R60" i="27" s="1"/>
  <c r="AH60" i="27"/>
  <c r="BA60" i="27"/>
  <c r="BE60" i="27" s="1"/>
  <c r="BB60" i="27"/>
  <c r="BF60" i="27" s="1"/>
  <c r="AY60" i="27"/>
  <c r="BC60" i="27" s="1"/>
  <c r="AP60" i="27"/>
  <c r="V60" i="27"/>
  <c r="M223" i="39" a="1"/>
  <c r="M223" i="39" s="1"/>
  <c r="K223" i="39" a="1"/>
  <c r="K223" i="39" s="1"/>
  <c r="H223" i="39" a="1"/>
  <c r="H223" i="39" s="1"/>
  <c r="I223" i="39" a="1"/>
  <c r="I223" i="39" s="1"/>
  <c r="J223" i="39" a="1"/>
  <c r="J223" i="39" s="1"/>
  <c r="L223" i="39" a="1"/>
  <c r="L223" i="39" s="1"/>
  <c r="F223" i="39" a="1"/>
  <c r="F223" i="39" s="1"/>
  <c r="G223" i="39" a="1"/>
  <c r="G223" i="39" s="1"/>
  <c r="Y62" i="28"/>
  <c r="AD62" i="28" s="1"/>
  <c r="AQ62" i="28" s="1"/>
  <c r="AA62" i="28"/>
  <c r="AF62" i="28" s="1"/>
  <c r="L223" i="26" a="1"/>
  <c r="L223" i="26" s="1"/>
  <c r="X223" i="26" s="1"/>
  <c r="J223" i="26" a="1"/>
  <c r="J223" i="26" s="1"/>
  <c r="V223" i="26" s="1"/>
  <c r="H223" i="26" a="1"/>
  <c r="H223" i="26" s="1"/>
  <c r="T223" i="26" s="1"/>
  <c r="F223" i="26" a="1"/>
  <c r="F223" i="26" s="1"/>
  <c r="G223" i="26" a="1"/>
  <c r="G223" i="26" s="1"/>
  <c r="K223" i="26" a="1"/>
  <c r="K223" i="26" s="1"/>
  <c r="W223" i="26" s="1"/>
  <c r="I223" i="26" a="1"/>
  <c r="I223" i="26" s="1"/>
  <c r="U223" i="26" s="1"/>
  <c r="M223" i="26" a="1"/>
  <c r="M223" i="26" s="1"/>
  <c r="U58" i="27"/>
  <c r="G58" i="27" s="1"/>
  <c r="J64" i="9" s="1"/>
  <c r="I58" i="27"/>
  <c r="AA59" i="27"/>
  <c r="X59" i="27"/>
  <c r="AL60" i="27"/>
  <c r="AT66" i="9"/>
  <c r="AH66" i="9"/>
  <c r="AI66" i="9" s="1"/>
  <c r="H63" i="28"/>
  <c r="AU63" i="28" s="1"/>
  <c r="AU66" i="9"/>
  <c r="X62" i="28"/>
  <c r="AC62" i="28" s="1"/>
  <c r="AP62" i="28" s="1"/>
  <c r="BT63" i="28"/>
  <c r="BU63" i="28"/>
  <c r="BK63" i="28"/>
  <c r="AJ63" i="28"/>
  <c r="BQ63" i="28"/>
  <c r="BF63" i="28"/>
  <c r="BS63" i="28"/>
  <c r="BO63" i="28"/>
  <c r="BH63" i="28"/>
  <c r="BA63" i="28"/>
  <c r="BG63" i="28"/>
  <c r="BV63" i="28"/>
  <c r="AK63" i="28"/>
  <c r="BN62" i="28"/>
  <c r="BJ63" i="28"/>
  <c r="BC63" i="28"/>
  <c r="AH63" i="28"/>
  <c r="BB63" i="28"/>
  <c r="BP63" i="28"/>
  <c r="BR63" i="28"/>
  <c r="AI63" i="28"/>
  <c r="AZ63" i="28"/>
  <c r="BL63" i="28"/>
  <c r="BI63" i="28"/>
  <c r="AN63" i="28"/>
  <c r="AX63" i="28"/>
  <c r="AL63" i="28"/>
  <c r="AM63" i="28"/>
  <c r="BD63" i="28"/>
  <c r="AT63" i="28"/>
  <c r="AY63" i="28"/>
  <c r="AG59" i="27"/>
  <c r="AF59" i="27"/>
  <c r="AX59" i="27" s="1"/>
  <c r="AI59" i="27"/>
  <c r="AK59" i="27"/>
  <c r="AE65" i="9"/>
  <c r="AJ59" i="27" s="1"/>
  <c r="AB59" i="27"/>
  <c r="AW59" i="27" s="1"/>
  <c r="AE59" i="27"/>
  <c r="AC59" i="27" s="1"/>
  <c r="AX65" i="9"/>
  <c r="AW65" i="9"/>
  <c r="Y223" i="26" l="1"/>
  <c r="AK223" i="26" s="1"/>
  <c r="AK60" i="27"/>
  <c r="AM59" i="27"/>
  <c r="AN59" i="27" s="1"/>
  <c r="AO58" i="27"/>
  <c r="AG67" i="9" a="1"/>
  <c r="AG67" i="9" s="1"/>
  <c r="AK61" i="27" s="1"/>
  <c r="AM60" i="27"/>
  <c r="AN60" i="27" s="1"/>
  <c r="N223" i="39"/>
  <c r="O223" i="39" s="1"/>
  <c r="L66" i="9" s="1"/>
  <c r="K63" i="28" s="1"/>
  <c r="M63" i="9"/>
  <c r="M60" i="28" s="1"/>
  <c r="AE60" i="27"/>
  <c r="AC60" i="27" s="1"/>
  <c r="AB60" i="27"/>
  <c r="AW60" i="27" s="1"/>
  <c r="BT64" i="28"/>
  <c r="AT64" i="28"/>
  <c r="AK64" i="28"/>
  <c r="BI64" i="28"/>
  <c r="AN64" i="28"/>
  <c r="AJ64" i="28"/>
  <c r="AM64" i="28"/>
  <c r="BB64" i="28"/>
  <c r="AI64" i="28"/>
  <c r="BC64" i="28"/>
  <c r="BN63" i="28"/>
  <c r="BG64" i="28"/>
  <c r="AX64" i="28"/>
  <c r="AL64" i="28"/>
  <c r="BD64" i="28"/>
  <c r="AH64" i="28"/>
  <c r="BL64" i="28"/>
  <c r="BA64" i="28"/>
  <c r="BF64" i="28"/>
  <c r="BJ64" i="28"/>
  <c r="BP64" i="28"/>
  <c r="BH64" i="28"/>
  <c r="AZ64" i="28"/>
  <c r="BK64" i="28"/>
  <c r="BO64" i="28"/>
  <c r="BU64" i="28"/>
  <c r="BV64" i="28"/>
  <c r="BR64" i="28"/>
  <c r="BS64" i="28"/>
  <c r="BQ64" i="28"/>
  <c r="AY64" i="28"/>
  <c r="I59" i="27"/>
  <c r="Y59" i="27"/>
  <c r="G59" i="27" s="1"/>
  <c r="J65" i="9" s="1"/>
  <c r="Y63" i="28"/>
  <c r="AD63" i="28" s="1"/>
  <c r="AQ63" i="28" s="1"/>
  <c r="AA63" i="28"/>
  <c r="AF63" i="28" s="1"/>
  <c r="X63" i="28"/>
  <c r="AC63" i="28" s="1"/>
  <c r="AP63" i="28" s="1"/>
  <c r="AH67" i="9"/>
  <c r="AI67" i="9" s="1"/>
  <c r="H64" i="28"/>
  <c r="AU64" i="28" s="1"/>
  <c r="AU67" i="9"/>
  <c r="AL61" i="27"/>
  <c r="AT67" i="9"/>
  <c r="AX66" i="9"/>
  <c r="AW66" i="9"/>
  <c r="AA60" i="27"/>
  <c r="Y60" i="27" s="1"/>
  <c r="X60" i="27"/>
  <c r="AV60" i="27" s="1"/>
  <c r="AS62" i="28"/>
  <c r="AR62" i="28"/>
  <c r="L224" i="26" a="1"/>
  <c r="L224" i="26" s="1"/>
  <c r="X224" i="26" s="1"/>
  <c r="G224" i="26" a="1"/>
  <c r="G224" i="26" s="1"/>
  <c r="F224" i="26" a="1"/>
  <c r="F224" i="26" s="1"/>
  <c r="K224" i="26" a="1"/>
  <c r="K224" i="26" s="1"/>
  <c r="W224" i="26" s="1"/>
  <c r="J224" i="26" a="1"/>
  <c r="J224" i="26" s="1"/>
  <c r="V224" i="26" s="1"/>
  <c r="H224" i="26" a="1"/>
  <c r="H224" i="26" s="1"/>
  <c r="T224" i="26" s="1"/>
  <c r="I224" i="26" a="1"/>
  <c r="I224" i="26" s="1"/>
  <c r="U224" i="26" s="1"/>
  <c r="M224" i="26" a="1"/>
  <c r="M224" i="26" s="1"/>
  <c r="AG60" i="27"/>
  <c r="AI60" i="27"/>
  <c r="AF60" i="27"/>
  <c r="AX60" i="27" s="1"/>
  <c r="Q64" i="28" a="1"/>
  <c r="Q64" i="28" s="1"/>
  <c r="W64" i="28" a="1"/>
  <c r="W64" i="28" s="1"/>
  <c r="O64" i="28" a="1"/>
  <c r="O64" i="28" s="1"/>
  <c r="U64" i="28" a="1"/>
  <c r="U64" i="28" s="1"/>
  <c r="S64" i="28" a="1"/>
  <c r="S64" i="28" s="1"/>
  <c r="CC64" i="28"/>
  <c r="BA61" i="27"/>
  <c r="BE61" i="27" s="1"/>
  <c r="BB61" i="27"/>
  <c r="BF61" i="27" s="1"/>
  <c r="P61" i="27"/>
  <c r="R61" i="27" s="1"/>
  <c r="AP61" i="27"/>
  <c r="AH61" i="27"/>
  <c r="Q61" i="27"/>
  <c r="S61" i="27" s="1"/>
  <c r="AY61" i="27"/>
  <c r="BC61" i="27" s="1"/>
  <c r="Z61" i="27"/>
  <c r="V61" i="27"/>
  <c r="AD61" i="27"/>
  <c r="D61" i="27"/>
  <c r="AJ68" i="9"/>
  <c r="F59" i="27"/>
  <c r="AU59" i="27"/>
  <c r="W60" i="27"/>
  <c r="T60" i="27"/>
  <c r="H60" i="27"/>
  <c r="C225" i="39"/>
  <c r="G68" i="9" a="1"/>
  <c r="G68" i="9" s="1"/>
  <c r="J65" i="28" s="1"/>
  <c r="AF68" i="9"/>
  <c r="AD68" i="9"/>
  <c r="K68" i="9"/>
  <c r="F68" i="9"/>
  <c r="C69" i="9"/>
  <c r="E62" i="27"/>
  <c r="C225" i="26"/>
  <c r="AM68" i="9"/>
  <c r="AK69" i="9" s="1"/>
  <c r="D68" i="9"/>
  <c r="A68" i="9" s="1"/>
  <c r="AL68" i="9"/>
  <c r="J224" i="39" a="1"/>
  <c r="J224" i="39" s="1"/>
  <c r="K224" i="39" a="1"/>
  <c r="K224" i="39" s="1"/>
  <c r="M224" i="39" a="1"/>
  <c r="M224" i="39" s="1"/>
  <c r="I224" i="39" a="1"/>
  <c r="I224" i="39" s="1"/>
  <c r="L224" i="39" a="1"/>
  <c r="L224" i="39" s="1"/>
  <c r="H224" i="39" a="1"/>
  <c r="H224" i="39" s="1"/>
  <c r="F224" i="39" a="1"/>
  <c r="F224" i="39" s="1"/>
  <c r="G224" i="39" a="1"/>
  <c r="G224" i="39" s="1"/>
  <c r="I64" i="9"/>
  <c r="AR58" i="27"/>
  <c r="AS58" i="27" s="1"/>
  <c r="AT58" i="27" s="1"/>
  <c r="Y224" i="26" l="1"/>
  <c r="AK224" i="26" s="1"/>
  <c r="AO59" i="27"/>
  <c r="AG68" i="9" a="1"/>
  <c r="AG68" i="9" s="1"/>
  <c r="AV59" i="27"/>
  <c r="AZ58" i="27" s="1"/>
  <c r="BD58" i="27" s="1"/>
  <c r="BG58" i="27" s="1"/>
  <c r="BW61" i="28" s="1"/>
  <c r="AE67" i="9"/>
  <c r="AJ61" i="27" s="1"/>
  <c r="AM61" i="27" s="1"/>
  <c r="N224" i="39"/>
  <c r="O224" i="39" s="1"/>
  <c r="L67" i="9" s="1"/>
  <c r="K64" i="28" s="1"/>
  <c r="M64" i="9"/>
  <c r="M61" i="28" s="1"/>
  <c r="C226" i="39"/>
  <c r="F69" i="9"/>
  <c r="G69" i="9" a="1"/>
  <c r="G69" i="9" s="1"/>
  <c r="J66" i="28" s="1"/>
  <c r="AF69" i="9"/>
  <c r="C226" i="26"/>
  <c r="AD69" i="9"/>
  <c r="K69" i="9"/>
  <c r="C70" i="9"/>
  <c r="E63" i="27"/>
  <c r="AM69" i="9"/>
  <c r="AK70" i="9" s="1"/>
  <c r="D69" i="9"/>
  <c r="A69" i="9" s="1"/>
  <c r="AL69" i="9"/>
  <c r="AR63" i="28"/>
  <c r="AS63" i="28"/>
  <c r="L225" i="39" a="1"/>
  <c r="L225" i="39" s="1"/>
  <c r="M225" i="39" a="1"/>
  <c r="M225" i="39" s="1"/>
  <c r="I225" i="39" a="1"/>
  <c r="I225" i="39" s="1"/>
  <c r="K225" i="39" a="1"/>
  <c r="K225" i="39" s="1"/>
  <c r="J225" i="39" a="1"/>
  <c r="J225" i="39" s="1"/>
  <c r="H225" i="39" a="1"/>
  <c r="H225" i="39" s="1"/>
  <c r="F225" i="39" a="1"/>
  <c r="F225" i="39" s="1"/>
  <c r="G225" i="39" a="1"/>
  <c r="G225" i="39" s="1"/>
  <c r="AZ59" i="27"/>
  <c r="BD59" i="27" s="1"/>
  <c r="BG59" i="27" s="1"/>
  <c r="BW62" i="28" s="1"/>
  <c r="AI61" i="27"/>
  <c r="AF61" i="27"/>
  <c r="AX61" i="27" s="1"/>
  <c r="AG61" i="27"/>
  <c r="F60" i="27"/>
  <c r="AO60" i="27" s="1"/>
  <c r="AU60" i="27"/>
  <c r="AH68" i="9"/>
  <c r="AI68" i="9" s="1"/>
  <c r="AU68" i="9"/>
  <c r="H65" i="28"/>
  <c r="AU65" i="28" s="1"/>
  <c r="AL62" i="27"/>
  <c r="AT68" i="9"/>
  <c r="T61" i="27"/>
  <c r="W61" i="27"/>
  <c r="H61" i="27"/>
  <c r="AN61" i="27"/>
  <c r="AE68" i="9"/>
  <c r="AJ62" i="27" s="1"/>
  <c r="AK62" i="27"/>
  <c r="BU65" i="28"/>
  <c r="AI65" i="28"/>
  <c r="BK65" i="28"/>
  <c r="AH65" i="28"/>
  <c r="BQ65" i="28"/>
  <c r="BF65" i="28"/>
  <c r="BT65" i="28"/>
  <c r="AZ65" i="28"/>
  <c r="BR65" i="28"/>
  <c r="AL65" i="28"/>
  <c r="BN64" i="28"/>
  <c r="BI65" i="28"/>
  <c r="BA65" i="28"/>
  <c r="BS65" i="28"/>
  <c r="BV65" i="28"/>
  <c r="AK65" i="28"/>
  <c r="BP65" i="28"/>
  <c r="AJ65" i="28"/>
  <c r="AM65" i="28"/>
  <c r="AX65" i="28"/>
  <c r="AY65" i="28"/>
  <c r="BH65" i="28"/>
  <c r="BB65" i="28"/>
  <c r="AN65" i="28"/>
  <c r="BG65" i="28"/>
  <c r="BL65" i="28"/>
  <c r="BC65" i="28"/>
  <c r="BD65" i="28"/>
  <c r="BJ65" i="28"/>
  <c r="BO65" i="28"/>
  <c r="AT65" i="28"/>
  <c r="AX67" i="9"/>
  <c r="AW67" i="9"/>
  <c r="Y64" i="28"/>
  <c r="AD64" i="28" s="1"/>
  <c r="AQ64" i="28" s="1"/>
  <c r="AA64" i="28"/>
  <c r="AF64" i="28" s="1"/>
  <c r="U65" i="28" a="1"/>
  <c r="U65" i="28" s="1"/>
  <c r="O65" i="28" a="1"/>
  <c r="O65" i="28" s="1"/>
  <c r="W65" i="28" a="1"/>
  <c r="W65" i="28" s="1"/>
  <c r="S65" i="28" a="1"/>
  <c r="S65" i="28" s="1"/>
  <c r="Q65" i="28" a="1"/>
  <c r="Q65" i="28" s="1"/>
  <c r="CC65" i="28"/>
  <c r="AE61" i="27"/>
  <c r="AC61" i="27" s="1"/>
  <c r="AB61" i="27"/>
  <c r="AW61" i="27" s="1"/>
  <c r="AA61" i="27"/>
  <c r="Y61" i="27" s="1"/>
  <c r="X61" i="27"/>
  <c r="AV61" i="27" s="1"/>
  <c r="AZ60" i="27" s="1"/>
  <c r="BD60" i="27" s="1"/>
  <c r="BG60" i="27" s="1"/>
  <c r="BW63" i="28" s="1"/>
  <c r="U60" i="27"/>
  <c r="G60" i="27" s="1"/>
  <c r="J66" i="9" s="1"/>
  <c r="I60" i="27"/>
  <c r="I65" i="9"/>
  <c r="AR59" i="27"/>
  <c r="AS59" i="27" s="1"/>
  <c r="AT59" i="27" s="1"/>
  <c r="L225" i="26" a="1"/>
  <c r="L225" i="26" s="1"/>
  <c r="X225" i="26" s="1"/>
  <c r="K225" i="26" a="1"/>
  <c r="K225" i="26" s="1"/>
  <c r="W225" i="26" s="1"/>
  <c r="G225" i="26" a="1"/>
  <c r="G225" i="26" s="1"/>
  <c r="I225" i="26" a="1"/>
  <c r="I225" i="26" s="1"/>
  <c r="U225" i="26" s="1"/>
  <c r="H225" i="26" a="1"/>
  <c r="H225" i="26" s="1"/>
  <c r="T225" i="26" s="1"/>
  <c r="J225" i="26" a="1"/>
  <c r="J225" i="26" s="1"/>
  <c r="V225" i="26" s="1"/>
  <c r="F225" i="26" a="1"/>
  <c r="F225" i="26" s="1"/>
  <c r="M225" i="26" a="1"/>
  <c r="M225" i="26" s="1"/>
  <c r="AJ69" i="9"/>
  <c r="BB62" i="27"/>
  <c r="BF62" i="27" s="1"/>
  <c r="Z62" i="27"/>
  <c r="BA62" i="27"/>
  <c r="BE62" i="27" s="1"/>
  <c r="AY62" i="27"/>
  <c r="BC62" i="27" s="1"/>
  <c r="D62" i="27"/>
  <c r="P62" i="27"/>
  <c r="R62" i="27" s="1"/>
  <c r="V62" i="27"/>
  <c r="AD62" i="27"/>
  <c r="AH62" i="27"/>
  <c r="AP62" i="27"/>
  <c r="Q62" i="27"/>
  <c r="S62" i="27" s="1"/>
  <c r="X64" i="28"/>
  <c r="AC64" i="28" s="1"/>
  <c r="AP64" i="28" s="1"/>
  <c r="Y225" i="26" l="1"/>
  <c r="AK225" i="26" s="1"/>
  <c r="AG69" i="9" a="1"/>
  <c r="AG69" i="9" s="1"/>
  <c r="N225" i="39"/>
  <c r="O225" i="39" s="1"/>
  <c r="L68" i="9" s="1"/>
  <c r="K65" i="28" s="1"/>
  <c r="M65" i="9"/>
  <c r="M62" i="28" s="1"/>
  <c r="AF62" i="27"/>
  <c r="AX62" i="27" s="1"/>
  <c r="AI62" i="27"/>
  <c r="AG62" i="27"/>
  <c r="AY63" i="27"/>
  <c r="BC63" i="27" s="1"/>
  <c r="AD63" i="27"/>
  <c r="V63" i="27"/>
  <c r="BB63" i="27"/>
  <c r="BF63" i="27" s="1"/>
  <c r="D63" i="27"/>
  <c r="AP63" i="27"/>
  <c r="Z63" i="27"/>
  <c r="BA63" i="27"/>
  <c r="BE63" i="27" s="1"/>
  <c r="AH63" i="27"/>
  <c r="P63" i="27"/>
  <c r="R63" i="27" s="1"/>
  <c r="Q63" i="27"/>
  <c r="S63" i="27" s="1"/>
  <c r="AX68" i="9"/>
  <c r="AW68" i="9"/>
  <c r="AU61" i="27"/>
  <c r="F61" i="27"/>
  <c r="I66" i="9"/>
  <c r="AR60" i="27"/>
  <c r="AS60" i="27" s="1"/>
  <c r="AT60" i="27" s="1"/>
  <c r="AE62" i="27"/>
  <c r="AC62" i="27" s="1"/>
  <c r="AB62" i="27"/>
  <c r="AW62" i="27" s="1"/>
  <c r="C227" i="39"/>
  <c r="G70" i="9" a="1"/>
  <c r="G70" i="9" s="1"/>
  <c r="J67" i="28" s="1"/>
  <c r="C71" i="9"/>
  <c r="E64" i="27"/>
  <c r="AF70" i="9"/>
  <c r="AD70" i="9"/>
  <c r="K70" i="9"/>
  <c r="F70" i="9"/>
  <c r="C227" i="26"/>
  <c r="AM70" i="9"/>
  <c r="AK71" i="9" s="1"/>
  <c r="AL70" i="9"/>
  <c r="D70" i="9"/>
  <c r="A70" i="9" s="1"/>
  <c r="AM62" i="27"/>
  <c r="AN62" i="27" s="1"/>
  <c r="AO61" i="27"/>
  <c r="J226" i="26" a="1"/>
  <c r="J226" i="26" s="1"/>
  <c r="V226" i="26" s="1"/>
  <c r="K226" i="26" a="1"/>
  <c r="K226" i="26" s="1"/>
  <c r="W226" i="26" s="1"/>
  <c r="L226" i="26" a="1"/>
  <c r="L226" i="26" s="1"/>
  <c r="X226" i="26" s="1"/>
  <c r="G226" i="26" a="1"/>
  <c r="G226" i="26" s="1"/>
  <c r="H226" i="26" a="1"/>
  <c r="H226" i="26" s="1"/>
  <c r="T226" i="26" s="1"/>
  <c r="I226" i="26" a="1"/>
  <c r="I226" i="26" s="1"/>
  <c r="U226" i="26" s="1"/>
  <c r="F226" i="26" a="1"/>
  <c r="F226" i="26" s="1"/>
  <c r="M226" i="26" a="1"/>
  <c r="M226" i="26" s="1"/>
  <c r="AA65" i="28"/>
  <c r="AF65" i="28" s="1"/>
  <c r="X65" i="28"/>
  <c r="AC65" i="28" s="1"/>
  <c r="AP65" i="28" s="1"/>
  <c r="Y65" i="28"/>
  <c r="AD65" i="28" s="1"/>
  <c r="AQ65" i="28" s="1"/>
  <c r="U61" i="27"/>
  <c r="G61" i="27" s="1"/>
  <c r="J67" i="9" s="1"/>
  <c r="I61" i="27"/>
  <c r="AR64" i="28"/>
  <c r="AS64" i="28"/>
  <c r="S66" i="28" a="1"/>
  <c r="S66" i="28" s="1"/>
  <c r="O66" i="28" a="1"/>
  <c r="O66" i="28" s="1"/>
  <c r="W66" i="28" a="1"/>
  <c r="W66" i="28" s="1"/>
  <c r="CC66" i="28"/>
  <c r="U66" i="28" a="1"/>
  <c r="U66" i="28" s="1"/>
  <c r="Q66" i="28" a="1"/>
  <c r="Q66" i="28" s="1"/>
  <c r="AJ70" i="9"/>
  <c r="I226" i="39" a="1"/>
  <c r="I226" i="39" s="1"/>
  <c r="J226" i="39" a="1"/>
  <c r="J226" i="39" s="1"/>
  <c r="L226" i="39" a="1"/>
  <c r="L226" i="39" s="1"/>
  <c r="M226" i="39" a="1"/>
  <c r="M226" i="39" s="1"/>
  <c r="K226" i="39" a="1"/>
  <c r="K226" i="39" s="1"/>
  <c r="H226" i="39" a="1"/>
  <c r="H226" i="39" s="1"/>
  <c r="F226" i="39" a="1"/>
  <c r="F226" i="39" s="1"/>
  <c r="G226" i="39" a="1"/>
  <c r="G226" i="39" s="1"/>
  <c r="AU69" i="9"/>
  <c r="AH69" i="9"/>
  <c r="AI69" i="9" s="1"/>
  <c r="AL63" i="27"/>
  <c r="H66" i="28"/>
  <c r="AU66" i="28" s="1"/>
  <c r="AT69" i="9"/>
  <c r="T62" i="27"/>
  <c r="W62" i="27"/>
  <c r="H62" i="27"/>
  <c r="AE69" i="9"/>
  <c r="AJ63" i="27" s="1"/>
  <c r="AK63" i="27"/>
  <c r="AI66" i="28"/>
  <c r="BB66" i="28"/>
  <c r="BC66" i="28"/>
  <c r="AY66" i="28"/>
  <c r="BG66" i="28"/>
  <c r="AZ66" i="28"/>
  <c r="AL66" i="28"/>
  <c r="AM66" i="28"/>
  <c r="BR66" i="28"/>
  <c r="BF66" i="28"/>
  <c r="BH66" i="28"/>
  <c r="BI66" i="28"/>
  <c r="BS66" i="28"/>
  <c r="BK66" i="28"/>
  <c r="AJ66" i="28"/>
  <c r="AK66" i="28"/>
  <c r="BP66" i="28"/>
  <c r="BV66" i="28"/>
  <c r="BO66" i="28"/>
  <c r="AT66" i="28"/>
  <c r="BN65" i="28"/>
  <c r="AH66" i="28"/>
  <c r="BQ66" i="28"/>
  <c r="BT66" i="28"/>
  <c r="BD66" i="28"/>
  <c r="BJ66" i="28"/>
  <c r="BA66" i="28"/>
  <c r="AX66" i="28"/>
  <c r="BU66" i="28"/>
  <c r="AN66" i="28"/>
  <c r="BL66" i="28"/>
  <c r="AA62" i="27"/>
  <c r="Y62" i="27" s="1"/>
  <c r="X62" i="27"/>
  <c r="Y226" i="26" l="1"/>
  <c r="AK226" i="26" s="1"/>
  <c r="N226" i="39"/>
  <c r="O226" i="39" s="1"/>
  <c r="L69" i="9" s="1"/>
  <c r="K66" i="28" s="1"/>
  <c r="AJ71" i="9"/>
  <c r="M66" i="9"/>
  <c r="M63" i="28" s="1"/>
  <c r="O67" i="28" a="1"/>
  <c r="O67" i="28" s="1"/>
  <c r="S67" i="28" a="1"/>
  <c r="S67" i="28" s="1"/>
  <c r="W67" i="28" a="1"/>
  <c r="W67" i="28" s="1"/>
  <c r="U67" i="28" a="1"/>
  <c r="U67" i="28" s="1"/>
  <c r="Q67" i="28" a="1"/>
  <c r="Q67" i="28" s="1"/>
  <c r="CC67" i="28"/>
  <c r="T63" i="27"/>
  <c r="H63" i="27"/>
  <c r="W63" i="27"/>
  <c r="AB63" i="27"/>
  <c r="AW63" i="27" s="1"/>
  <c r="AE63" i="27"/>
  <c r="AC63" i="27" s="1"/>
  <c r="I67" i="9"/>
  <c r="AR61" i="27"/>
  <c r="AS61" i="27" s="1"/>
  <c r="AT61" i="27" s="1"/>
  <c r="I62" i="27"/>
  <c r="U62" i="27"/>
  <c r="G62" i="27" s="1"/>
  <c r="J68" i="9" s="1"/>
  <c r="H227" i="26" a="1"/>
  <c r="H227" i="26" s="1"/>
  <c r="T227" i="26" s="1"/>
  <c r="L227" i="26" a="1"/>
  <c r="L227" i="26" s="1"/>
  <c r="X227" i="26" s="1"/>
  <c r="F227" i="26" a="1"/>
  <c r="F227" i="26" s="1"/>
  <c r="J227" i="26" a="1"/>
  <c r="J227" i="26" s="1"/>
  <c r="V227" i="26" s="1"/>
  <c r="K227" i="26" a="1"/>
  <c r="K227" i="26" s="1"/>
  <c r="W227" i="26" s="1"/>
  <c r="I227" i="26" a="1"/>
  <c r="I227" i="26" s="1"/>
  <c r="U227" i="26" s="1"/>
  <c r="G227" i="26" a="1"/>
  <c r="G227" i="26" s="1"/>
  <c r="M227" i="26" a="1"/>
  <c r="M227" i="26" s="1"/>
  <c r="AV62" i="27"/>
  <c r="AZ61" i="27" s="1"/>
  <c r="BD61" i="27" s="1"/>
  <c r="BG61" i="27" s="1"/>
  <c r="BW64" i="28" s="1"/>
  <c r="AP64" i="27"/>
  <c r="BA64" i="27"/>
  <c r="BE64" i="27" s="1"/>
  <c r="BB64" i="27"/>
  <c r="BF64" i="27" s="1"/>
  <c r="D64" i="27"/>
  <c r="AY64" i="27"/>
  <c r="BC64" i="27" s="1"/>
  <c r="P64" i="27"/>
  <c r="R64" i="27" s="1"/>
  <c r="AH64" i="27"/>
  <c r="Q64" i="27"/>
  <c r="S64" i="27" s="1"/>
  <c r="Z64" i="27"/>
  <c r="V64" i="27"/>
  <c r="AD64" i="27"/>
  <c r="AL64" i="27"/>
  <c r="AU70" i="9"/>
  <c r="AT70" i="9"/>
  <c r="AH70" i="9"/>
  <c r="AI70" i="9" s="1"/>
  <c r="H67" i="28"/>
  <c r="AF63" i="27"/>
  <c r="AX63" i="27" s="1"/>
  <c r="AG63" i="27"/>
  <c r="AI63" i="27"/>
  <c r="AA63" i="27"/>
  <c r="Y63" i="27" s="1"/>
  <c r="X63" i="27"/>
  <c r="L227" i="39" a="1"/>
  <c r="L227" i="39" s="1"/>
  <c r="H227" i="39" a="1"/>
  <c r="H227" i="39" s="1"/>
  <c r="M227" i="39" a="1"/>
  <c r="M227" i="39" s="1"/>
  <c r="J227" i="39" a="1"/>
  <c r="J227" i="39" s="1"/>
  <c r="I227" i="39" a="1"/>
  <c r="I227" i="39" s="1"/>
  <c r="K227" i="39" a="1"/>
  <c r="K227" i="39" s="1"/>
  <c r="F227" i="39" a="1"/>
  <c r="F227" i="39" s="1"/>
  <c r="G227" i="39" a="1"/>
  <c r="G227" i="39" s="1"/>
  <c r="C228" i="39"/>
  <c r="C72" i="9"/>
  <c r="E65" i="27"/>
  <c r="AD71" i="9"/>
  <c r="K71" i="9"/>
  <c r="G71" i="9" a="1"/>
  <c r="G71" i="9" s="1"/>
  <c r="J68" i="28" s="1"/>
  <c r="F71" i="9"/>
  <c r="C228" i="26"/>
  <c r="AF71" i="9"/>
  <c r="AM71" i="9"/>
  <c r="AK72" i="9" s="1"/>
  <c r="D71" i="9"/>
  <c r="A71" i="9" s="1"/>
  <c r="AL71" i="9"/>
  <c r="BU67" i="28"/>
  <c r="AI67" i="28"/>
  <c r="AY67" i="28"/>
  <c r="AJ67" i="28"/>
  <c r="AZ67" i="28"/>
  <c r="BV67" i="28"/>
  <c r="BB67" i="28"/>
  <c r="BK67" i="28"/>
  <c r="BT67" i="28"/>
  <c r="AN67" i="28"/>
  <c r="BI67" i="28"/>
  <c r="BF67" i="28"/>
  <c r="AK67" i="28"/>
  <c r="BH67" i="28"/>
  <c r="BS67" i="28"/>
  <c r="AX67" i="28"/>
  <c r="BA67" i="28"/>
  <c r="BR67" i="28"/>
  <c r="BQ67" i="28"/>
  <c r="BN66" i="28"/>
  <c r="BP67" i="28"/>
  <c r="BO67" i="28"/>
  <c r="AL67" i="28"/>
  <c r="AM67" i="28"/>
  <c r="BC67" i="28"/>
  <c r="AH67" i="28"/>
  <c r="BG67" i="28"/>
  <c r="BJ67" i="28"/>
  <c r="BD67" i="28"/>
  <c r="BL67" i="28"/>
  <c r="AT67" i="28"/>
  <c r="AM63" i="27"/>
  <c r="AN63" i="27" s="1"/>
  <c r="AR65" i="28"/>
  <c r="AS65" i="28"/>
  <c r="AU62" i="27"/>
  <c r="F62" i="27"/>
  <c r="AX69" i="9"/>
  <c r="AW69" i="9"/>
  <c r="X66" i="28"/>
  <c r="AC66" i="28" s="1"/>
  <c r="AP66" i="28" s="1"/>
  <c r="Y66" i="28"/>
  <c r="AD66" i="28" s="1"/>
  <c r="AQ66" i="28" s="1"/>
  <c r="AA66" i="28"/>
  <c r="AF66" i="28" s="1"/>
  <c r="AG70" i="9" a="1"/>
  <c r="AG70" i="9" s="1"/>
  <c r="Y227" i="26" l="1"/>
  <c r="AK227" i="26" s="1"/>
  <c r="M67" i="9"/>
  <c r="M64" i="28" s="1"/>
  <c r="N227" i="39"/>
  <c r="O227" i="39" s="1"/>
  <c r="L70" i="9" s="1"/>
  <c r="K67" i="28" s="1"/>
  <c r="AJ72" i="9"/>
  <c r="AV63" i="27"/>
  <c r="AZ62" i="27" s="1"/>
  <c r="BD62" i="27" s="1"/>
  <c r="BG62" i="27" s="1"/>
  <c r="BW65" i="28" s="1"/>
  <c r="AT71" i="9"/>
  <c r="AH71" i="9"/>
  <c r="AI71" i="9" s="1"/>
  <c r="AU71" i="9"/>
  <c r="AL65" i="27"/>
  <c r="H68" i="28"/>
  <c r="AU68" i="28" s="1"/>
  <c r="W64" i="27"/>
  <c r="T64" i="27"/>
  <c r="H64" i="27"/>
  <c r="AA64" i="27"/>
  <c r="Y64" i="27" s="1"/>
  <c r="X64" i="27"/>
  <c r="U63" i="27"/>
  <c r="G63" i="27" s="1"/>
  <c r="J69" i="9" s="1"/>
  <c r="I63" i="27"/>
  <c r="AK64" i="27"/>
  <c r="AE70" i="9"/>
  <c r="AJ64" i="27" s="1"/>
  <c r="AS66" i="28"/>
  <c r="AR66" i="28"/>
  <c r="AE64" i="27"/>
  <c r="AC64" i="27" s="1"/>
  <c r="AB64" i="27"/>
  <c r="AW64" i="27" s="1"/>
  <c r="AU63" i="27"/>
  <c r="F63" i="27"/>
  <c r="AO63" i="27" s="1"/>
  <c r="S68" i="28" a="1"/>
  <c r="S68" i="28" s="1"/>
  <c r="W68" i="28" a="1"/>
  <c r="W68" i="28" s="1"/>
  <c r="Q68" i="28" a="1"/>
  <c r="Q68" i="28" s="1"/>
  <c r="O68" i="28" a="1"/>
  <c r="O68" i="28" s="1"/>
  <c r="CC68" i="28"/>
  <c r="U68" i="28" a="1"/>
  <c r="U68" i="28" s="1"/>
  <c r="I68" i="9"/>
  <c r="AR62" i="27"/>
  <c r="AS62" i="27" s="1"/>
  <c r="AT62" i="27" s="1"/>
  <c r="AY68" i="28"/>
  <c r="BP68" i="28"/>
  <c r="BN67" i="28"/>
  <c r="BS68" i="28"/>
  <c r="BR68" i="28"/>
  <c r="AK68" i="28"/>
  <c r="AJ68" i="28"/>
  <c r="BB68" i="28"/>
  <c r="AX68" i="28"/>
  <c r="BJ68" i="28"/>
  <c r="BO68" i="28"/>
  <c r="BK68" i="28"/>
  <c r="AZ68" i="28"/>
  <c r="AH68" i="28"/>
  <c r="BH68" i="28"/>
  <c r="BQ68" i="28"/>
  <c r="BT68" i="28"/>
  <c r="BD68" i="28"/>
  <c r="BL68" i="28"/>
  <c r="BU68" i="28"/>
  <c r="BV68" i="28"/>
  <c r="AI68" i="28"/>
  <c r="AL68" i="28"/>
  <c r="BF68" i="28"/>
  <c r="AM68" i="28"/>
  <c r="BC68" i="28"/>
  <c r="BA68" i="28"/>
  <c r="AN68" i="28"/>
  <c r="BI68" i="28"/>
  <c r="BG68" i="28"/>
  <c r="AT68" i="28"/>
  <c r="AG71" i="9" a="1"/>
  <c r="AG71" i="9" s="1"/>
  <c r="AX70" i="9"/>
  <c r="AW70" i="9"/>
  <c r="AI64" i="27"/>
  <c r="AF64" i="27"/>
  <c r="AX64" i="27" s="1"/>
  <c r="AG64" i="27"/>
  <c r="P65" i="27"/>
  <c r="R65" i="27" s="1"/>
  <c r="V65" i="27"/>
  <c r="BA65" i="27"/>
  <c r="BE65" i="27" s="1"/>
  <c r="Q65" i="27"/>
  <c r="S65" i="27" s="1"/>
  <c r="AH65" i="27"/>
  <c r="D65" i="27"/>
  <c r="BB65" i="27"/>
  <c r="BF65" i="27" s="1"/>
  <c r="AD65" i="27"/>
  <c r="Z65" i="27"/>
  <c r="AP65" i="27"/>
  <c r="AY65" i="27"/>
  <c r="BC65" i="27" s="1"/>
  <c r="Y67" i="28"/>
  <c r="AD67" i="28" s="1"/>
  <c r="AQ67" i="28" s="1"/>
  <c r="X67" i="28"/>
  <c r="AC67" i="28" s="1"/>
  <c r="AP67" i="28" s="1"/>
  <c r="I228" i="26" a="1"/>
  <c r="I228" i="26" s="1"/>
  <c r="U228" i="26" s="1"/>
  <c r="L228" i="26" a="1"/>
  <c r="L228" i="26" s="1"/>
  <c r="X228" i="26" s="1"/>
  <c r="F228" i="26" a="1"/>
  <c r="F228" i="26" s="1"/>
  <c r="K228" i="26" a="1"/>
  <c r="K228" i="26" s="1"/>
  <c r="W228" i="26" s="1"/>
  <c r="J228" i="26" a="1"/>
  <c r="J228" i="26" s="1"/>
  <c r="V228" i="26" s="1"/>
  <c r="H228" i="26" a="1"/>
  <c r="H228" i="26" s="1"/>
  <c r="T228" i="26" s="1"/>
  <c r="G228" i="26" a="1"/>
  <c r="G228" i="26" s="1"/>
  <c r="M228" i="26" a="1"/>
  <c r="M228" i="26" s="1"/>
  <c r="C229" i="39"/>
  <c r="E66" i="27"/>
  <c r="F72" i="9"/>
  <c r="C229" i="26"/>
  <c r="AF72" i="9"/>
  <c r="AD72" i="9"/>
  <c r="K72" i="9"/>
  <c r="C73" i="9"/>
  <c r="G72" i="9" a="1"/>
  <c r="G72" i="9" s="1"/>
  <c r="J69" i="28" s="1"/>
  <c r="AM72" i="9"/>
  <c r="AK73" i="9" s="1"/>
  <c r="D72" i="9"/>
  <c r="A72" i="9" s="1"/>
  <c r="AL72" i="9"/>
  <c r="AA67" i="28"/>
  <c r="AF67" i="28" s="1"/>
  <c r="K228" i="39" a="1"/>
  <c r="K228" i="39" s="1"/>
  <c r="I228" i="39" a="1"/>
  <c r="I228" i="39" s="1"/>
  <c r="H228" i="39" a="1"/>
  <c r="H228" i="39" s="1"/>
  <c r="L228" i="39" a="1"/>
  <c r="L228" i="39" s="1"/>
  <c r="M228" i="39" a="1"/>
  <c r="M228" i="39" s="1"/>
  <c r="J228" i="39" a="1"/>
  <c r="J228" i="39" s="1"/>
  <c r="F228" i="39" a="1"/>
  <c r="F228" i="39" s="1"/>
  <c r="G228" i="39" a="1"/>
  <c r="G228" i="39" s="1"/>
  <c r="AU67" i="28"/>
  <c r="AO62" i="27"/>
  <c r="Y228" i="26" l="1"/>
  <c r="AK228" i="26" s="1"/>
  <c r="AG72" i="9" a="1"/>
  <c r="AG72" i="9" s="1"/>
  <c r="AE72" i="9" s="1"/>
  <c r="AJ66" i="27" s="1"/>
  <c r="N228" i="39"/>
  <c r="O228" i="39" s="1"/>
  <c r="L71" i="9" s="1"/>
  <c r="K68" i="28" s="1"/>
  <c r="M68" i="9"/>
  <c r="M65" i="28" s="1"/>
  <c r="F229" i="26" a="1"/>
  <c r="F229" i="26" s="1"/>
  <c r="G229" i="26" a="1"/>
  <c r="G229" i="26" s="1"/>
  <c r="I229" i="26" a="1"/>
  <c r="I229" i="26" s="1"/>
  <c r="U229" i="26" s="1"/>
  <c r="K229" i="26" a="1"/>
  <c r="K229" i="26" s="1"/>
  <c r="W229" i="26" s="1"/>
  <c r="L229" i="26" a="1"/>
  <c r="L229" i="26" s="1"/>
  <c r="X229" i="26" s="1"/>
  <c r="H229" i="26" a="1"/>
  <c r="H229" i="26" s="1"/>
  <c r="T229" i="26" s="1"/>
  <c r="J229" i="26" a="1"/>
  <c r="J229" i="26" s="1"/>
  <c r="V229" i="26" s="1"/>
  <c r="M229" i="26" a="1"/>
  <c r="M229" i="26" s="1"/>
  <c r="T65" i="27"/>
  <c r="W65" i="27"/>
  <c r="U65" i="27" s="1"/>
  <c r="H65" i="27"/>
  <c r="AV64" i="27"/>
  <c r="AZ63" i="27" s="1"/>
  <c r="BD63" i="27" s="1"/>
  <c r="BG63" i="27" s="1"/>
  <c r="BW66" i="28" s="1"/>
  <c r="AG65" i="27"/>
  <c r="AI65" i="27"/>
  <c r="AF65" i="27"/>
  <c r="AX65" i="27" s="1"/>
  <c r="Y68" i="28"/>
  <c r="AD68" i="28" s="1"/>
  <c r="AQ68" i="28" s="1"/>
  <c r="AA68" i="28"/>
  <c r="AF68" i="28" s="1"/>
  <c r="X68" i="28"/>
  <c r="AC68" i="28" s="1"/>
  <c r="AP68" i="28" s="1"/>
  <c r="L229" i="39" a="1"/>
  <c r="L229" i="39" s="1"/>
  <c r="K229" i="39" a="1"/>
  <c r="K229" i="39" s="1"/>
  <c r="I229" i="39" a="1"/>
  <c r="I229" i="39" s="1"/>
  <c r="J229" i="39" a="1"/>
  <c r="J229" i="39" s="1"/>
  <c r="M229" i="39" a="1"/>
  <c r="M229" i="39" s="1"/>
  <c r="H229" i="39" a="1"/>
  <c r="H229" i="39" s="1"/>
  <c r="F229" i="39" a="1"/>
  <c r="F229" i="39" s="1"/>
  <c r="G229" i="39" a="1"/>
  <c r="G229" i="39" s="1"/>
  <c r="AW71" i="9"/>
  <c r="AX71" i="9"/>
  <c r="I64" i="27"/>
  <c r="U64" i="27"/>
  <c r="G64" i="27" s="1"/>
  <c r="J70" i="9" s="1"/>
  <c r="X65" i="27"/>
  <c r="AA65" i="27"/>
  <c r="AE71" i="9"/>
  <c r="AJ65" i="27" s="1"/>
  <c r="AK65" i="27"/>
  <c r="AS67" i="28"/>
  <c r="AR67" i="28"/>
  <c r="AL66" i="27"/>
  <c r="AU72" i="9"/>
  <c r="AT72" i="9"/>
  <c r="H69" i="28"/>
  <c r="AU69" i="28" s="1"/>
  <c r="AH72" i="9"/>
  <c r="AI72" i="9" s="1"/>
  <c r="BK69" i="28"/>
  <c r="AK69" i="28"/>
  <c r="BT69" i="28"/>
  <c r="BS69" i="28"/>
  <c r="BF69" i="28"/>
  <c r="BV69" i="28"/>
  <c r="AX69" i="28"/>
  <c r="AZ69" i="28"/>
  <c r="BH69" i="28"/>
  <c r="BB69" i="28"/>
  <c r="BQ69" i="28"/>
  <c r="BJ69" i="28"/>
  <c r="AI69" i="28"/>
  <c r="BG69" i="28"/>
  <c r="AN69" i="28"/>
  <c r="BP69" i="28"/>
  <c r="AH69" i="28"/>
  <c r="BR69" i="28"/>
  <c r="BC69" i="28"/>
  <c r="BL69" i="28"/>
  <c r="BA69" i="28"/>
  <c r="BN68" i="28"/>
  <c r="AL69" i="28"/>
  <c r="AM69" i="28"/>
  <c r="BD69" i="28"/>
  <c r="AY69" i="28"/>
  <c r="BI69" i="28"/>
  <c r="AT69" i="28"/>
  <c r="AJ69" i="28"/>
  <c r="BO69" i="28"/>
  <c r="BU69" i="28"/>
  <c r="AB65" i="27"/>
  <c r="AW65" i="27" s="1"/>
  <c r="AE65" i="27"/>
  <c r="AC65" i="27" s="1"/>
  <c r="AJ73" i="9"/>
  <c r="Q69" i="28" a="1"/>
  <c r="Q69" i="28" s="1"/>
  <c r="CC69" i="28"/>
  <c r="W69" i="28" a="1"/>
  <c r="W69" i="28" s="1"/>
  <c r="S69" i="28" a="1"/>
  <c r="S69" i="28" s="1"/>
  <c r="U69" i="28" a="1"/>
  <c r="U69" i="28" s="1"/>
  <c r="O69" i="28" a="1"/>
  <c r="O69" i="28" s="1"/>
  <c r="BA66" i="27"/>
  <c r="BE66" i="27" s="1"/>
  <c r="Z66" i="27"/>
  <c r="AY66" i="27"/>
  <c r="BC66" i="27" s="1"/>
  <c r="D66" i="27"/>
  <c r="P66" i="27"/>
  <c r="R66" i="27" s="1"/>
  <c r="V66" i="27"/>
  <c r="AD66" i="27"/>
  <c r="Q66" i="27"/>
  <c r="S66" i="27" s="1"/>
  <c r="BB66" i="27"/>
  <c r="BF66" i="27" s="1"/>
  <c r="AH66" i="27"/>
  <c r="AP66" i="27"/>
  <c r="AU64" i="27"/>
  <c r="F64" i="27"/>
  <c r="I69" i="9"/>
  <c r="AR63" i="27"/>
  <c r="AS63" i="27" s="1"/>
  <c r="AT63" i="27" s="1"/>
  <c r="C230" i="39"/>
  <c r="G73" i="9" a="1"/>
  <c r="G73" i="9" s="1"/>
  <c r="J70" i="28" s="1"/>
  <c r="AD73" i="9"/>
  <c r="K73" i="9"/>
  <c r="C74" i="9"/>
  <c r="E67" i="27"/>
  <c r="C230" i="26"/>
  <c r="AF73" i="9"/>
  <c r="F73" i="9"/>
  <c r="AM73" i="9"/>
  <c r="AK74" i="9" s="1"/>
  <c r="D73" i="9"/>
  <c r="A73" i="9" s="1"/>
  <c r="AL73" i="9"/>
  <c r="AM64" i="27"/>
  <c r="AN64" i="27" s="1"/>
  <c r="AO64" i="27" s="1"/>
  <c r="AK66" i="27" l="1"/>
  <c r="Y229" i="26"/>
  <c r="AK229" i="26" s="1"/>
  <c r="N229" i="39"/>
  <c r="O229" i="39" s="1"/>
  <c r="L72" i="9" s="1"/>
  <c r="K69" i="28" s="1"/>
  <c r="M69" i="9"/>
  <c r="M66" i="28" s="1"/>
  <c r="AM65" i="27"/>
  <c r="AN65" i="27" s="1"/>
  <c r="AE66" i="27"/>
  <c r="AC66" i="27" s="1"/>
  <c r="AB66" i="27"/>
  <c r="AW66" i="27" s="1"/>
  <c r="BT70" i="28"/>
  <c r="AM70" i="28"/>
  <c r="AY70" i="28"/>
  <c r="BH70" i="28"/>
  <c r="AX70" i="28"/>
  <c r="BJ70" i="28"/>
  <c r="BV70" i="28"/>
  <c r="BK70" i="28"/>
  <c r="AN70" i="28"/>
  <c r="BA70" i="28"/>
  <c r="AK70" i="28"/>
  <c r="AJ70" i="28"/>
  <c r="BP70" i="28"/>
  <c r="AZ70" i="28"/>
  <c r="BF70" i="28"/>
  <c r="BS70" i="28"/>
  <c r="BR70" i="28"/>
  <c r="AH70" i="28"/>
  <c r="BL70" i="28"/>
  <c r="BD70" i="28"/>
  <c r="AL70" i="28"/>
  <c r="BQ70" i="28"/>
  <c r="BN69" i="28"/>
  <c r="BB70" i="28"/>
  <c r="BC70" i="28"/>
  <c r="BO70" i="28"/>
  <c r="AI70" i="28"/>
  <c r="BG70" i="28"/>
  <c r="BI70" i="28"/>
  <c r="BU70" i="28"/>
  <c r="AT70" i="28"/>
  <c r="AW72" i="9"/>
  <c r="AX72" i="9"/>
  <c r="W66" i="27"/>
  <c r="H66" i="27"/>
  <c r="T66" i="27"/>
  <c r="C231" i="39"/>
  <c r="F74" i="9"/>
  <c r="AF74" i="9"/>
  <c r="E68" i="27"/>
  <c r="C75" i="9"/>
  <c r="G74" i="9" a="1"/>
  <c r="G74" i="9" s="1"/>
  <c r="J71" i="28" s="1"/>
  <c r="AD74" i="9"/>
  <c r="K74" i="9"/>
  <c r="C231" i="26"/>
  <c r="AM74" i="9"/>
  <c r="AK75" i="9" s="1"/>
  <c r="D74" i="9"/>
  <c r="A74" i="9" s="1"/>
  <c r="AL74" i="9"/>
  <c r="X69" i="28"/>
  <c r="AC69" i="28" s="1"/>
  <c r="AP69" i="28" s="1"/>
  <c r="Y69" i="28"/>
  <c r="AD69" i="28" s="1"/>
  <c r="AQ69" i="28" s="1"/>
  <c r="AA69" i="28"/>
  <c r="AF69" i="28" s="1"/>
  <c r="AA66" i="27"/>
  <c r="Y66" i="27" s="1"/>
  <c r="X66" i="27"/>
  <c r="AV66" i="27" s="1"/>
  <c r="AF66" i="27"/>
  <c r="AX66" i="27" s="1"/>
  <c r="AI66" i="27"/>
  <c r="AG66" i="27"/>
  <c r="AM66" i="27"/>
  <c r="AN66" i="27" s="1"/>
  <c r="AU65" i="27"/>
  <c r="F65" i="27"/>
  <c r="AJ74" i="9"/>
  <c r="I65" i="27"/>
  <c r="Y65" i="27"/>
  <c r="G65" i="27" s="1"/>
  <c r="J71" i="9" s="1"/>
  <c r="AS68" i="28"/>
  <c r="AR68" i="28"/>
  <c r="AH67" i="27"/>
  <c r="BA67" i="27"/>
  <c r="BE67" i="27" s="1"/>
  <c r="V67" i="27"/>
  <c r="AP67" i="27"/>
  <c r="AY67" i="27"/>
  <c r="BC67" i="27" s="1"/>
  <c r="BB67" i="27"/>
  <c r="BF67" i="27" s="1"/>
  <c r="Q67" i="27"/>
  <c r="S67" i="27" s="1"/>
  <c r="AD67" i="27"/>
  <c r="Z67" i="27"/>
  <c r="D67" i="27"/>
  <c r="P67" i="27"/>
  <c r="R67" i="27" s="1"/>
  <c r="L230" i="39" a="1"/>
  <c r="L230" i="39" s="1"/>
  <c r="I230" i="39" a="1"/>
  <c r="I230" i="39" s="1"/>
  <c r="H230" i="39" a="1"/>
  <c r="H230" i="39" s="1"/>
  <c r="M230" i="39" a="1"/>
  <c r="M230" i="39" s="1"/>
  <c r="K230" i="39" a="1"/>
  <c r="K230" i="39" s="1"/>
  <c r="J230" i="39" a="1"/>
  <c r="J230" i="39" s="1"/>
  <c r="F230" i="39" a="1"/>
  <c r="F230" i="39" s="1"/>
  <c r="G230" i="39" a="1"/>
  <c r="G230" i="39" s="1"/>
  <c r="AT73" i="9"/>
  <c r="H70" i="28"/>
  <c r="AU70" i="28" s="1"/>
  <c r="AH73" i="9"/>
  <c r="AI73" i="9" s="1"/>
  <c r="AL67" i="27"/>
  <c r="AU73" i="9"/>
  <c r="G230" i="26" a="1"/>
  <c r="G230" i="26" s="1"/>
  <c r="K230" i="26" a="1"/>
  <c r="K230" i="26" s="1"/>
  <c r="W230" i="26" s="1"/>
  <c r="I230" i="26" a="1"/>
  <c r="I230" i="26" s="1"/>
  <c r="U230" i="26" s="1"/>
  <c r="F230" i="26" a="1"/>
  <c r="F230" i="26" s="1"/>
  <c r="H230" i="26" a="1"/>
  <c r="H230" i="26" s="1"/>
  <c r="T230" i="26" s="1"/>
  <c r="L230" i="26" a="1"/>
  <c r="L230" i="26" s="1"/>
  <c r="X230" i="26" s="1"/>
  <c r="M230" i="26" a="1"/>
  <c r="M230" i="26" s="1"/>
  <c r="J230" i="26" a="1"/>
  <c r="J230" i="26" s="1"/>
  <c r="V230" i="26" s="1"/>
  <c r="Q70" i="28" a="1"/>
  <c r="Q70" i="28" s="1"/>
  <c r="O70" i="28" a="1"/>
  <c r="O70" i="28" s="1"/>
  <c r="S70" i="28" a="1"/>
  <c r="S70" i="28" s="1"/>
  <c r="U70" i="28" a="1"/>
  <c r="U70" i="28" s="1"/>
  <c r="W70" i="28" a="1"/>
  <c r="W70" i="28" s="1"/>
  <c r="CC70" i="28"/>
  <c r="AG73" i="9" a="1"/>
  <c r="AG73" i="9" s="1"/>
  <c r="I70" i="9"/>
  <c r="AR64" i="27"/>
  <c r="AS64" i="27" s="1"/>
  <c r="AT64" i="27" s="1"/>
  <c r="Y230" i="26" l="1"/>
  <c r="AK230" i="26" s="1"/>
  <c r="AG74" i="9" a="1"/>
  <c r="AG74" i="9" s="1"/>
  <c r="AE74" i="9" s="1"/>
  <c r="AJ68" i="27" s="1"/>
  <c r="M70" i="9"/>
  <c r="M67" i="28" s="1"/>
  <c r="AO65" i="27"/>
  <c r="N230" i="39"/>
  <c r="O230" i="39" s="1"/>
  <c r="L73" i="9" s="1"/>
  <c r="K70" i="28" s="1"/>
  <c r="AJ75" i="9"/>
  <c r="AY71" i="28"/>
  <c r="BB71" i="28"/>
  <c r="AM71" i="28"/>
  <c r="BC71" i="28"/>
  <c r="AL71" i="28"/>
  <c r="BG71" i="28"/>
  <c r="BR71" i="28"/>
  <c r="AJ71" i="28"/>
  <c r="BK71" i="28"/>
  <c r="BQ71" i="28"/>
  <c r="BF71" i="28"/>
  <c r="BT71" i="28"/>
  <c r="AX71" i="28"/>
  <c r="AI71" i="28"/>
  <c r="AN71" i="28"/>
  <c r="BS71" i="28"/>
  <c r="BJ71" i="28"/>
  <c r="BH71" i="28"/>
  <c r="AH71" i="28"/>
  <c r="BV71" i="28"/>
  <c r="BU71" i="28"/>
  <c r="AZ71" i="28"/>
  <c r="BI71" i="28"/>
  <c r="BO71" i="28"/>
  <c r="BA71" i="28"/>
  <c r="AK71" i="28"/>
  <c r="BP71" i="28"/>
  <c r="BN70" i="28"/>
  <c r="BL71" i="28"/>
  <c r="BD71" i="28"/>
  <c r="AT71" i="28"/>
  <c r="AV65" i="27"/>
  <c r="AZ64" i="27" s="1"/>
  <c r="BD64" i="27" s="1"/>
  <c r="BG64" i="27" s="1"/>
  <c r="BW67" i="28" s="1"/>
  <c r="X67" i="27"/>
  <c r="AA67" i="27"/>
  <c r="Y67" i="27" s="1"/>
  <c r="AE67" i="27"/>
  <c r="AC67" i="27" s="1"/>
  <c r="AB67" i="27"/>
  <c r="AW67" i="27" s="1"/>
  <c r="C232" i="39"/>
  <c r="F75" i="9"/>
  <c r="C232" i="26"/>
  <c r="K75" i="9"/>
  <c r="AF75" i="9"/>
  <c r="AD75" i="9"/>
  <c r="G75" i="9" a="1"/>
  <c r="G75" i="9" s="1"/>
  <c r="J72" i="28" s="1"/>
  <c r="C76" i="9"/>
  <c r="E69" i="27"/>
  <c r="AM75" i="9"/>
  <c r="AK76" i="9" s="1"/>
  <c r="D75" i="9"/>
  <c r="A75" i="9" s="1"/>
  <c r="AL75" i="9"/>
  <c r="AK67" i="27"/>
  <c r="AE73" i="9"/>
  <c r="AJ67" i="27" s="1"/>
  <c r="AA70" i="28"/>
  <c r="AF70" i="28" s="1"/>
  <c r="Y70" i="28"/>
  <c r="AD70" i="28" s="1"/>
  <c r="AQ70" i="28" s="1"/>
  <c r="X70" i="28"/>
  <c r="AC70" i="28" s="1"/>
  <c r="AP70" i="28" s="1"/>
  <c r="CC71" i="28"/>
  <c r="W71" i="28" a="1"/>
  <c r="W71" i="28" s="1"/>
  <c r="Q71" i="28" a="1"/>
  <c r="Q71" i="28" s="1"/>
  <c r="O71" i="28" a="1"/>
  <c r="O71" i="28" s="1"/>
  <c r="U71" i="28" a="1"/>
  <c r="U71" i="28" s="1"/>
  <c r="S71" i="28" a="1"/>
  <c r="S71" i="28" s="1"/>
  <c r="AH68" i="27"/>
  <c r="D68" i="27"/>
  <c r="BA68" i="27"/>
  <c r="BE68" i="27" s="1"/>
  <c r="BB68" i="27"/>
  <c r="BF68" i="27" s="1"/>
  <c r="AP68" i="27"/>
  <c r="AD68" i="27"/>
  <c r="Q68" i="27"/>
  <c r="S68" i="27" s="1"/>
  <c r="V68" i="27"/>
  <c r="Z68" i="27"/>
  <c r="AY68" i="27"/>
  <c r="BC68" i="27" s="1"/>
  <c r="P68" i="27"/>
  <c r="R68" i="27" s="1"/>
  <c r="AU66" i="27"/>
  <c r="F66" i="27"/>
  <c r="AO66" i="27" s="1"/>
  <c r="AW73" i="9"/>
  <c r="AX73" i="9"/>
  <c r="H67" i="27"/>
  <c r="T67" i="27"/>
  <c r="W67" i="27"/>
  <c r="AZ65" i="27"/>
  <c r="BD65" i="27" s="1"/>
  <c r="BG65" i="27" s="1"/>
  <c r="BW68" i="28" s="1"/>
  <c r="I71" i="9"/>
  <c r="AR65" i="27"/>
  <c r="AS65" i="27" s="1"/>
  <c r="AT65" i="27" s="1"/>
  <c r="U66" i="27"/>
  <c r="G66" i="27" s="1"/>
  <c r="J72" i="9" s="1"/>
  <c r="I66" i="27"/>
  <c r="AH74" i="9"/>
  <c r="AI74" i="9" s="1"/>
  <c r="AL68" i="27"/>
  <c r="H71" i="28"/>
  <c r="AU71" i="28" s="1"/>
  <c r="AT74" i="9"/>
  <c r="AU74" i="9"/>
  <c r="J231" i="26" a="1"/>
  <c r="J231" i="26" s="1"/>
  <c r="V231" i="26" s="1"/>
  <c r="L231" i="26" a="1"/>
  <c r="L231" i="26" s="1"/>
  <c r="X231" i="26" s="1"/>
  <c r="G231" i="26" a="1"/>
  <c r="G231" i="26" s="1"/>
  <c r="I231" i="26" a="1"/>
  <c r="I231" i="26" s="1"/>
  <c r="U231" i="26" s="1"/>
  <c r="H231" i="26" a="1"/>
  <c r="H231" i="26" s="1"/>
  <c r="T231" i="26" s="1"/>
  <c r="F231" i="26" a="1"/>
  <c r="F231" i="26" s="1"/>
  <c r="M231" i="26" a="1"/>
  <c r="M231" i="26" s="1"/>
  <c r="K231" i="26" a="1"/>
  <c r="K231" i="26" s="1"/>
  <c r="W231" i="26" s="1"/>
  <c r="AF67" i="27"/>
  <c r="AX67" i="27" s="1"/>
  <c r="AI67" i="27"/>
  <c r="AG67" i="27"/>
  <c r="AS69" i="28"/>
  <c r="AR69" i="28"/>
  <c r="I231" i="39" a="1"/>
  <c r="I231" i="39" s="1"/>
  <c r="K231" i="39" a="1"/>
  <c r="K231" i="39" s="1"/>
  <c r="M231" i="39" a="1"/>
  <c r="M231" i="39" s="1"/>
  <c r="L231" i="39" a="1"/>
  <c r="L231" i="39" s="1"/>
  <c r="J231" i="39" a="1"/>
  <c r="J231" i="39" s="1"/>
  <c r="H231" i="39" a="1"/>
  <c r="H231" i="39" s="1"/>
  <c r="F231" i="39" a="1"/>
  <c r="F231" i="39" s="1"/>
  <c r="G231" i="39" a="1"/>
  <c r="G231" i="39" s="1"/>
  <c r="Y231" i="26" l="1"/>
  <c r="AK231" i="26" s="1"/>
  <c r="N231" i="39"/>
  <c r="O231" i="39" s="1"/>
  <c r="L74" i="9" s="1"/>
  <c r="K71" i="28" s="1"/>
  <c r="AK68" i="27"/>
  <c r="AM68" i="27" s="1"/>
  <c r="AN68" i="27" s="1"/>
  <c r="AG75" i="9" a="1"/>
  <c r="AG75" i="9" s="1"/>
  <c r="AE75" i="9" s="1"/>
  <c r="AJ69" i="27" s="1"/>
  <c r="M71" i="9"/>
  <c r="M68" i="28" s="1"/>
  <c r="AM67" i="27"/>
  <c r="AN67" i="27" s="1"/>
  <c r="AJ76" i="9"/>
  <c r="K232" i="26" a="1"/>
  <c r="K232" i="26" s="1"/>
  <c r="W232" i="26" s="1"/>
  <c r="G232" i="26" a="1"/>
  <c r="G232" i="26" s="1"/>
  <c r="F232" i="26" a="1"/>
  <c r="F232" i="26" s="1"/>
  <c r="H232" i="26" a="1"/>
  <c r="H232" i="26" s="1"/>
  <c r="T232" i="26" s="1"/>
  <c r="I232" i="26" a="1"/>
  <c r="I232" i="26" s="1"/>
  <c r="U232" i="26" s="1"/>
  <c r="L232" i="26" a="1"/>
  <c r="L232" i="26" s="1"/>
  <c r="X232" i="26" s="1"/>
  <c r="M232" i="26" a="1"/>
  <c r="M232" i="26" s="1"/>
  <c r="J232" i="26" a="1"/>
  <c r="J232" i="26" s="1"/>
  <c r="V232" i="26" s="1"/>
  <c r="AE68" i="27"/>
  <c r="AC68" i="27" s="1"/>
  <c r="AB68" i="27"/>
  <c r="AW68" i="27" s="1"/>
  <c r="AG68" i="27"/>
  <c r="AI68" i="27"/>
  <c r="AF68" i="27"/>
  <c r="AX68" i="27" s="1"/>
  <c r="AV67" i="27"/>
  <c r="AZ66" i="27" s="1"/>
  <c r="BD66" i="27" s="1"/>
  <c r="BG66" i="27" s="1"/>
  <c r="BW69" i="28" s="1"/>
  <c r="AW74" i="9"/>
  <c r="AX74" i="9"/>
  <c r="BA69" i="27"/>
  <c r="BE69" i="27" s="1"/>
  <c r="Q69" i="27"/>
  <c r="S69" i="27" s="1"/>
  <c r="D69" i="27"/>
  <c r="AD69" i="27"/>
  <c r="V69" i="27"/>
  <c r="AY69" i="27"/>
  <c r="BC69" i="27" s="1"/>
  <c r="BB69" i="27"/>
  <c r="BF69" i="27" s="1"/>
  <c r="P69" i="27"/>
  <c r="R69" i="27" s="1"/>
  <c r="AH69" i="27"/>
  <c r="AP69" i="27"/>
  <c r="Z69" i="27"/>
  <c r="AS70" i="28"/>
  <c r="AR70" i="28"/>
  <c r="U67" i="27"/>
  <c r="G67" i="27" s="1"/>
  <c r="J73" i="9" s="1"/>
  <c r="I67" i="27"/>
  <c r="C233" i="39"/>
  <c r="C233" i="26"/>
  <c r="K76" i="9"/>
  <c r="C77" i="9"/>
  <c r="F76" i="9"/>
  <c r="AD76" i="9"/>
  <c r="AF76" i="9"/>
  <c r="E70" i="27"/>
  <c r="G76" i="9" a="1"/>
  <c r="G76" i="9" s="1"/>
  <c r="J73" i="28" s="1"/>
  <c r="AM76" i="9"/>
  <c r="AK77" i="9" s="1"/>
  <c r="D76" i="9"/>
  <c r="A76" i="9" s="1"/>
  <c r="AL76" i="9"/>
  <c r="AU67" i="27"/>
  <c r="F67" i="27"/>
  <c r="CC72" i="28"/>
  <c r="O72" i="28" a="1"/>
  <c r="O72" i="28" s="1"/>
  <c r="W72" i="28" a="1"/>
  <c r="W72" i="28" s="1"/>
  <c r="Q72" i="28" a="1"/>
  <c r="Q72" i="28" s="1"/>
  <c r="S72" i="28" a="1"/>
  <c r="S72" i="28" s="1"/>
  <c r="U72" i="28" a="1"/>
  <c r="U72" i="28" s="1"/>
  <c r="X71" i="28"/>
  <c r="AC71" i="28" s="1"/>
  <c r="AP71" i="28" s="1"/>
  <c r="Y71" i="28"/>
  <c r="AD71" i="28" s="1"/>
  <c r="AQ71" i="28" s="1"/>
  <c r="AA71" i="28"/>
  <c r="AF71" i="28" s="1"/>
  <c r="BG72" i="28"/>
  <c r="AN72" i="28"/>
  <c r="BI72" i="28"/>
  <c r="AI72" i="28"/>
  <c r="BC72" i="28"/>
  <c r="BS72" i="28"/>
  <c r="AZ72" i="28"/>
  <c r="BV72" i="28"/>
  <c r="AX72" i="28"/>
  <c r="BT72" i="28"/>
  <c r="BP72" i="28"/>
  <c r="BK72" i="28"/>
  <c r="AM72" i="28"/>
  <c r="AT72" i="28"/>
  <c r="BU72" i="28"/>
  <c r="AH72" i="28"/>
  <c r="BJ72" i="28"/>
  <c r="BA72" i="28"/>
  <c r="BO72" i="28"/>
  <c r="BN71" i="28"/>
  <c r="BB72" i="28"/>
  <c r="AK72" i="28"/>
  <c r="BH72" i="28"/>
  <c r="BR72" i="28"/>
  <c r="BD72" i="28"/>
  <c r="BQ72" i="28"/>
  <c r="BF72" i="28"/>
  <c r="BL72" i="28"/>
  <c r="AY72" i="28"/>
  <c r="AJ72" i="28"/>
  <c r="AL72" i="28"/>
  <c r="X68" i="27"/>
  <c r="AA68" i="27"/>
  <c r="Y68" i="27" s="1"/>
  <c r="T68" i="27"/>
  <c r="W68" i="27"/>
  <c r="H68" i="27"/>
  <c r="I72" i="9"/>
  <c r="AR66" i="27"/>
  <c r="AS66" i="27" s="1"/>
  <c r="AT66" i="27" s="1"/>
  <c r="J232" i="39" a="1"/>
  <c r="J232" i="39" s="1"/>
  <c r="K232" i="39" a="1"/>
  <c r="K232" i="39" s="1"/>
  <c r="M232" i="39" a="1"/>
  <c r="M232" i="39" s="1"/>
  <c r="I232" i="39" a="1"/>
  <c r="I232" i="39" s="1"/>
  <c r="H232" i="39" a="1"/>
  <c r="H232" i="39" s="1"/>
  <c r="L232" i="39" a="1"/>
  <c r="L232" i="39" s="1"/>
  <c r="F232" i="39" a="1"/>
  <c r="F232" i="39" s="1"/>
  <c r="G232" i="39" a="1"/>
  <c r="G232" i="39" s="1"/>
  <c r="AH75" i="9"/>
  <c r="AI75" i="9" s="1"/>
  <c r="AT75" i="9"/>
  <c r="H72" i="28"/>
  <c r="AU72" i="28" s="1"/>
  <c r="AL69" i="27"/>
  <c r="AU75" i="9"/>
  <c r="Y232" i="26" l="1"/>
  <c r="AK232" i="26" s="1"/>
  <c r="AK69" i="27"/>
  <c r="AM69" i="27" s="1"/>
  <c r="AN69" i="27" s="1"/>
  <c r="AJ77" i="9"/>
  <c r="N232" i="39"/>
  <c r="O232" i="39" s="1"/>
  <c r="L75" i="9" s="1"/>
  <c r="K72" i="28" s="1"/>
  <c r="M72" i="9"/>
  <c r="M69" i="28" s="1"/>
  <c r="I68" i="27"/>
  <c r="U68" i="27"/>
  <c r="G68" i="27" s="1"/>
  <c r="J74" i="9" s="1"/>
  <c r="AU68" i="27"/>
  <c r="F68" i="27"/>
  <c r="AA69" i="27"/>
  <c r="X69" i="27"/>
  <c r="AS71" i="28"/>
  <c r="AR71" i="28"/>
  <c r="AP70" i="27"/>
  <c r="Q70" i="27"/>
  <c r="S70" i="27" s="1"/>
  <c r="V70" i="27"/>
  <c r="BA70" i="27"/>
  <c r="BE70" i="27" s="1"/>
  <c r="AH70" i="27"/>
  <c r="D70" i="27"/>
  <c r="AY70" i="27"/>
  <c r="BC70" i="27" s="1"/>
  <c r="BB70" i="27"/>
  <c r="BF70" i="27" s="1"/>
  <c r="Z70" i="27"/>
  <c r="P70" i="27"/>
  <c r="R70" i="27" s="1"/>
  <c r="AD70" i="27"/>
  <c r="AA72" i="28"/>
  <c r="AF72" i="28" s="1"/>
  <c r="X72" i="28"/>
  <c r="AC72" i="28" s="1"/>
  <c r="AP72" i="28" s="1"/>
  <c r="Y72" i="28"/>
  <c r="AD72" i="28" s="1"/>
  <c r="AQ72" i="28" s="1"/>
  <c r="I73" i="9"/>
  <c r="AR67" i="27"/>
  <c r="AS67" i="27" s="1"/>
  <c r="AT67" i="27" s="1"/>
  <c r="BG73" i="28"/>
  <c r="BJ73" i="28"/>
  <c r="AL73" i="28"/>
  <c r="AN73" i="28"/>
  <c r="BU73" i="28"/>
  <c r="BI73" i="28"/>
  <c r="AK73" i="28"/>
  <c r="BA73" i="28"/>
  <c r="AZ73" i="28"/>
  <c r="AJ73" i="28"/>
  <c r="BR73" i="28"/>
  <c r="AY73" i="28"/>
  <c r="AM73" i="28"/>
  <c r="AH73" i="28"/>
  <c r="BH73" i="28"/>
  <c r="BP73" i="28"/>
  <c r="BO73" i="28"/>
  <c r="BN72" i="28"/>
  <c r="BS73" i="28"/>
  <c r="BB73" i="28"/>
  <c r="BK73" i="28"/>
  <c r="AX73" i="28"/>
  <c r="BF73" i="28"/>
  <c r="AI73" i="28"/>
  <c r="BT73" i="28"/>
  <c r="BV73" i="28"/>
  <c r="BQ73" i="28"/>
  <c r="BC73" i="28"/>
  <c r="BD73" i="28"/>
  <c r="BL73" i="28"/>
  <c r="AT73" i="28"/>
  <c r="AI69" i="27"/>
  <c r="AG69" i="27"/>
  <c r="AF69" i="27"/>
  <c r="AX69" i="27" s="1"/>
  <c r="J233" i="26" a="1"/>
  <c r="J233" i="26" s="1"/>
  <c r="V233" i="26" s="1"/>
  <c r="L233" i="26" a="1"/>
  <c r="L233" i="26" s="1"/>
  <c r="X233" i="26" s="1"/>
  <c r="I233" i="26" a="1"/>
  <c r="I233" i="26" s="1"/>
  <c r="U233" i="26" s="1"/>
  <c r="H233" i="26" a="1"/>
  <c r="H233" i="26" s="1"/>
  <c r="T233" i="26" s="1"/>
  <c r="K233" i="26" a="1"/>
  <c r="K233" i="26" s="1"/>
  <c r="W233" i="26" s="1"/>
  <c r="F233" i="26" a="1"/>
  <c r="F233" i="26" s="1"/>
  <c r="G233" i="26" a="1"/>
  <c r="G233" i="26" s="1"/>
  <c r="M233" i="26" a="1"/>
  <c r="M233" i="26" s="1"/>
  <c r="AG76" i="9" a="1"/>
  <c r="AG76" i="9" s="1"/>
  <c r="CC73" i="28"/>
  <c r="U73" i="28" a="1"/>
  <c r="U73" i="28" s="1"/>
  <c r="Q73" i="28" a="1"/>
  <c r="Q73" i="28" s="1"/>
  <c r="S73" i="28" a="1"/>
  <c r="S73" i="28" s="1"/>
  <c r="W73" i="28" a="1"/>
  <c r="W73" i="28" s="1"/>
  <c r="O73" i="28" a="1"/>
  <c r="O73" i="28" s="1"/>
  <c r="H73" i="28"/>
  <c r="AU73" i="28" s="1"/>
  <c r="AT76" i="9"/>
  <c r="AH76" i="9"/>
  <c r="AI76" i="9" s="1"/>
  <c r="AL70" i="27"/>
  <c r="AU76" i="9"/>
  <c r="AW75" i="9"/>
  <c r="AX75" i="9"/>
  <c r="H233" i="39" a="1"/>
  <c r="H233" i="39" s="1"/>
  <c r="J233" i="39" a="1"/>
  <c r="J233" i="39" s="1"/>
  <c r="K233" i="39" a="1"/>
  <c r="K233" i="39" s="1"/>
  <c r="I233" i="39" a="1"/>
  <c r="I233" i="39" s="1"/>
  <c r="L233" i="39" a="1"/>
  <c r="L233" i="39" s="1"/>
  <c r="M233" i="39" a="1"/>
  <c r="M233" i="39" s="1"/>
  <c r="F233" i="39" a="1"/>
  <c r="F233" i="39" s="1"/>
  <c r="G233" i="39" a="1"/>
  <c r="G233" i="39" s="1"/>
  <c r="C234" i="39"/>
  <c r="E71" i="27"/>
  <c r="AF77" i="9"/>
  <c r="C234" i="26"/>
  <c r="AD77" i="9"/>
  <c r="K77" i="9"/>
  <c r="C78" i="9"/>
  <c r="F77" i="9"/>
  <c r="G77" i="9" a="1"/>
  <c r="G77" i="9" s="1"/>
  <c r="J74" i="28" s="1"/>
  <c r="AM77" i="9"/>
  <c r="AK78" i="9" s="1"/>
  <c r="D77" i="9"/>
  <c r="A77" i="9" s="1"/>
  <c r="AL77" i="9"/>
  <c r="AO67" i="27"/>
  <c r="AB69" i="27"/>
  <c r="AW69" i="27" s="1"/>
  <c r="AE69" i="27"/>
  <c r="AC69" i="27" s="1"/>
  <c r="AV68" i="27"/>
  <c r="AZ67" i="27" s="1"/>
  <c r="BD67" i="27" s="1"/>
  <c r="BG67" i="27" s="1"/>
  <c r="BW70" i="28" s="1"/>
  <c r="W69" i="27"/>
  <c r="U69" i="27" s="1"/>
  <c r="H69" i="27"/>
  <c r="T69" i="27"/>
  <c r="Y233" i="26" l="1"/>
  <c r="AK233" i="26" s="1"/>
  <c r="AG77" i="9" a="1"/>
  <c r="AG77" i="9" s="1"/>
  <c r="M73" i="9"/>
  <c r="M70" i="28" s="1"/>
  <c r="N233" i="39"/>
  <c r="O233" i="39" s="1"/>
  <c r="L76" i="9" s="1"/>
  <c r="K73" i="28" s="1"/>
  <c r="Y73" i="28"/>
  <c r="AD73" i="28" s="1"/>
  <c r="AQ73" i="28" s="1"/>
  <c r="AJ78" i="9"/>
  <c r="F234" i="26" a="1"/>
  <c r="F234" i="26" s="1"/>
  <c r="G234" i="26" a="1"/>
  <c r="G234" i="26" s="1"/>
  <c r="L234" i="26" a="1"/>
  <c r="L234" i="26" s="1"/>
  <c r="X234" i="26" s="1"/>
  <c r="I234" i="26" a="1"/>
  <c r="I234" i="26" s="1"/>
  <c r="U234" i="26" s="1"/>
  <c r="K234" i="26" a="1"/>
  <c r="K234" i="26" s="1"/>
  <c r="W234" i="26" s="1"/>
  <c r="J234" i="26" a="1"/>
  <c r="J234" i="26" s="1"/>
  <c r="V234" i="26" s="1"/>
  <c r="M234" i="26" a="1"/>
  <c r="M234" i="26" s="1"/>
  <c r="H234" i="26" a="1"/>
  <c r="H234" i="26" s="1"/>
  <c r="T234" i="26" s="1"/>
  <c r="I74" i="9"/>
  <c r="AR68" i="27"/>
  <c r="AS68" i="27" s="1"/>
  <c r="AT68" i="27" s="1"/>
  <c r="F69" i="27"/>
  <c r="AU69" i="27"/>
  <c r="AE70" i="27"/>
  <c r="AC70" i="27" s="1"/>
  <c r="AB70" i="27"/>
  <c r="AW70" i="27" s="1"/>
  <c r="W70" i="27"/>
  <c r="U70" i="27" s="1"/>
  <c r="H70" i="27"/>
  <c r="T70" i="27"/>
  <c r="AR72" i="28"/>
  <c r="AS72" i="28"/>
  <c r="I69" i="27"/>
  <c r="Y69" i="27"/>
  <c r="G69" i="27" s="1"/>
  <c r="J75" i="9" s="1"/>
  <c r="CC74" i="28"/>
  <c r="W74" i="28" a="1"/>
  <c r="W74" i="28" s="1"/>
  <c r="S74" i="28" a="1"/>
  <c r="S74" i="28" s="1"/>
  <c r="Q74" i="28" a="1"/>
  <c r="Q74" i="28" s="1"/>
  <c r="O74" i="28" a="1"/>
  <c r="O74" i="28" s="1"/>
  <c r="U74" i="28" a="1"/>
  <c r="U74" i="28" s="1"/>
  <c r="AA70" i="27"/>
  <c r="X70" i="27"/>
  <c r="AW76" i="9"/>
  <c r="AX76" i="9"/>
  <c r="J234" i="39" a="1"/>
  <c r="J234" i="39" s="1"/>
  <c r="L234" i="39" a="1"/>
  <c r="L234" i="39" s="1"/>
  <c r="H234" i="39" a="1"/>
  <c r="H234" i="39" s="1"/>
  <c r="I234" i="39" a="1"/>
  <c r="I234" i="39" s="1"/>
  <c r="K234" i="39" a="1"/>
  <c r="K234" i="39" s="1"/>
  <c r="M234" i="39" a="1"/>
  <c r="M234" i="39" s="1"/>
  <c r="F234" i="39" a="1"/>
  <c r="F234" i="39" s="1"/>
  <c r="G234" i="39" a="1"/>
  <c r="G234" i="39" s="1"/>
  <c r="AK71" i="27"/>
  <c r="AE77" i="9"/>
  <c r="AJ71" i="27" s="1"/>
  <c r="AF70" i="27"/>
  <c r="AX70" i="27" s="1"/>
  <c r="AG70" i="27"/>
  <c r="AI70" i="27"/>
  <c r="P71" i="27"/>
  <c r="R71" i="27" s="1"/>
  <c r="AY71" i="27"/>
  <c r="BC71" i="27" s="1"/>
  <c r="BA71" i="27"/>
  <c r="BE71" i="27" s="1"/>
  <c r="BB71" i="27"/>
  <c r="BF71" i="27" s="1"/>
  <c r="AH71" i="27"/>
  <c r="V71" i="27"/>
  <c r="AP71" i="27"/>
  <c r="D71" i="27"/>
  <c r="Z71" i="27"/>
  <c r="AD71" i="27"/>
  <c r="Q71" i="27"/>
  <c r="S71" i="27" s="1"/>
  <c r="X73" i="28"/>
  <c r="AC73" i="28" s="1"/>
  <c r="AP73" i="28" s="1"/>
  <c r="AA73" i="28"/>
  <c r="AF73" i="28" s="1"/>
  <c r="AL71" i="27"/>
  <c r="H74" i="28"/>
  <c r="AU74" i="28" s="1"/>
  <c r="AT77" i="9"/>
  <c r="AU77" i="9"/>
  <c r="AH77" i="9"/>
  <c r="AI77" i="9" s="1"/>
  <c r="AN74" i="28"/>
  <c r="BB74" i="28"/>
  <c r="BC74" i="28"/>
  <c r="BK74" i="28"/>
  <c r="BQ74" i="28"/>
  <c r="AH74" i="28"/>
  <c r="AI74" i="28"/>
  <c r="BI74" i="28"/>
  <c r="BG74" i="28"/>
  <c r="BT74" i="28"/>
  <c r="BH74" i="28"/>
  <c r="BU74" i="28"/>
  <c r="BA74" i="28"/>
  <c r="BR74" i="28"/>
  <c r="BO74" i="28"/>
  <c r="BV74" i="28"/>
  <c r="AZ74" i="28"/>
  <c r="BP74" i="28"/>
  <c r="BN73" i="28"/>
  <c r="AX74" i="28"/>
  <c r="BF74" i="28"/>
  <c r="BD74" i="28"/>
  <c r="AJ74" i="28"/>
  <c r="BL74" i="28"/>
  <c r="AL74" i="28"/>
  <c r="BJ74" i="28"/>
  <c r="AM74" i="28"/>
  <c r="BS74" i="28"/>
  <c r="AY74" i="28"/>
  <c r="AK74" i="28"/>
  <c r="AT74" i="28"/>
  <c r="AK70" i="27"/>
  <c r="AE76" i="9"/>
  <c r="AJ70" i="27" s="1"/>
  <c r="C235" i="39"/>
  <c r="C79" i="9"/>
  <c r="E72" i="27"/>
  <c r="AF78" i="9"/>
  <c r="F78" i="9"/>
  <c r="AD78" i="9"/>
  <c r="K78" i="9"/>
  <c r="C235" i="26"/>
  <c r="G78" i="9" a="1"/>
  <c r="G78" i="9" s="1"/>
  <c r="J75" i="28" s="1"/>
  <c r="AM78" i="9"/>
  <c r="AK79" i="9" s="1"/>
  <c r="D78" i="9"/>
  <c r="A78" i="9" s="1"/>
  <c r="AL78" i="9"/>
  <c r="AO68" i="27"/>
  <c r="Y234" i="26" l="1"/>
  <c r="AK234" i="26" s="1"/>
  <c r="AM71" i="27"/>
  <c r="AN71" i="27" s="1"/>
  <c r="AM70" i="27"/>
  <c r="AN70" i="27" s="1"/>
  <c r="M74" i="9"/>
  <c r="M71" i="28" s="1"/>
  <c r="N234" i="39"/>
  <c r="O234" i="39" s="1"/>
  <c r="L77" i="9" s="1"/>
  <c r="K74" i="28" s="1"/>
  <c r="Y74" i="28"/>
  <c r="AD74" i="28" s="1"/>
  <c r="AQ74" i="28" s="1"/>
  <c r="AG78" i="9" a="1"/>
  <c r="AG78" i="9" s="1"/>
  <c r="AE78" i="9" s="1"/>
  <c r="AJ72" i="27" s="1"/>
  <c r="AW77" i="9"/>
  <c r="AX77" i="9"/>
  <c r="I75" i="9"/>
  <c r="AR69" i="27"/>
  <c r="AS69" i="27" s="1"/>
  <c r="AT69" i="27" s="1"/>
  <c r="AO69" i="27"/>
  <c r="AU78" i="9"/>
  <c r="AL72" i="27"/>
  <c r="AH78" i="9"/>
  <c r="AI78" i="9" s="1"/>
  <c r="H75" i="28"/>
  <c r="AU75" i="28" s="1"/>
  <c r="AT78" i="9"/>
  <c r="AM75" i="28"/>
  <c r="BC75" i="28"/>
  <c r="AX75" i="28"/>
  <c r="BP75" i="28"/>
  <c r="AZ75" i="28"/>
  <c r="AH75" i="28"/>
  <c r="BO75" i="28"/>
  <c r="AL75" i="28"/>
  <c r="AJ75" i="28"/>
  <c r="AK75" i="28"/>
  <c r="BI75" i="28"/>
  <c r="BR75" i="28"/>
  <c r="BH75" i="28"/>
  <c r="BN74" i="28"/>
  <c r="BV75" i="28"/>
  <c r="AT75" i="28"/>
  <c r="BK75" i="28"/>
  <c r="AY75" i="28"/>
  <c r="BF75" i="28"/>
  <c r="BS75" i="28"/>
  <c r="AN75" i="28"/>
  <c r="BB75" i="28"/>
  <c r="BT75" i="28"/>
  <c r="BD75" i="28"/>
  <c r="BL75" i="28"/>
  <c r="BQ75" i="28"/>
  <c r="BJ75" i="28"/>
  <c r="BG75" i="28"/>
  <c r="BA75" i="28"/>
  <c r="AI75" i="28"/>
  <c r="BU75" i="28"/>
  <c r="I70" i="27"/>
  <c r="Y70" i="27"/>
  <c r="G70" i="27" s="1"/>
  <c r="J76" i="9" s="1"/>
  <c r="AA71" i="27"/>
  <c r="Y71" i="27" s="1"/>
  <c r="X71" i="27"/>
  <c r="AJ79" i="9"/>
  <c r="AG71" i="27"/>
  <c r="AI71" i="27"/>
  <c r="AF71" i="27"/>
  <c r="AX71" i="27" s="1"/>
  <c r="J235" i="26" a="1"/>
  <c r="J235" i="26" s="1"/>
  <c r="V235" i="26" s="1"/>
  <c r="F235" i="26" a="1"/>
  <c r="F235" i="26" s="1"/>
  <c r="I235" i="26" a="1"/>
  <c r="I235" i="26" s="1"/>
  <c r="U235" i="26" s="1"/>
  <c r="H235" i="26" a="1"/>
  <c r="H235" i="26" s="1"/>
  <c r="T235" i="26" s="1"/>
  <c r="K235" i="26" a="1"/>
  <c r="K235" i="26" s="1"/>
  <c r="W235" i="26" s="1"/>
  <c r="L235" i="26" a="1"/>
  <c r="L235" i="26" s="1"/>
  <c r="X235" i="26" s="1"/>
  <c r="G235" i="26" a="1"/>
  <c r="G235" i="26" s="1"/>
  <c r="M235" i="26" a="1"/>
  <c r="M235" i="26" s="1"/>
  <c r="AV69" i="27"/>
  <c r="AZ68" i="27" s="1"/>
  <c r="BD68" i="27" s="1"/>
  <c r="BG68" i="27" s="1"/>
  <c r="BW71" i="28" s="1"/>
  <c r="BB72" i="27"/>
  <c r="BF72" i="27" s="1"/>
  <c r="V72" i="27"/>
  <c r="D72" i="27"/>
  <c r="Z72" i="27"/>
  <c r="P72" i="27"/>
  <c r="R72" i="27" s="1"/>
  <c r="AY72" i="27"/>
  <c r="BC72" i="27" s="1"/>
  <c r="BA72" i="27"/>
  <c r="BE72" i="27" s="1"/>
  <c r="Q72" i="27"/>
  <c r="S72" i="27" s="1"/>
  <c r="AH72" i="27"/>
  <c r="AD72" i="27"/>
  <c r="AP72" i="27"/>
  <c r="C236" i="39"/>
  <c r="E73" i="27"/>
  <c r="C236" i="26"/>
  <c r="AF79" i="9"/>
  <c r="AD79" i="9"/>
  <c r="K79" i="9"/>
  <c r="G79" i="9" a="1"/>
  <c r="G79" i="9" s="1"/>
  <c r="J76" i="28" s="1"/>
  <c r="C80" i="9"/>
  <c r="F79" i="9"/>
  <c r="AM79" i="9"/>
  <c r="AK80" i="9" s="1"/>
  <c r="D79" i="9"/>
  <c r="A79" i="9" s="1"/>
  <c r="AL79" i="9"/>
  <c r="AE71" i="27"/>
  <c r="AC71" i="27" s="1"/>
  <c r="AB71" i="27"/>
  <c r="AW71" i="27" s="1"/>
  <c r="M235" i="39" a="1"/>
  <c r="M235" i="39" s="1"/>
  <c r="I235" i="39" a="1"/>
  <c r="I235" i="39" s="1"/>
  <c r="L235" i="39" a="1"/>
  <c r="L235" i="39" s="1"/>
  <c r="H235" i="39" a="1"/>
  <c r="H235" i="39" s="1"/>
  <c r="K235" i="39" a="1"/>
  <c r="K235" i="39" s="1"/>
  <c r="J235" i="39" a="1"/>
  <c r="J235" i="39" s="1"/>
  <c r="F235" i="39" a="1"/>
  <c r="F235" i="39" s="1"/>
  <c r="G235" i="39" a="1"/>
  <c r="G235" i="39" s="1"/>
  <c r="H71" i="27"/>
  <c r="T71" i="27"/>
  <c r="W71" i="27"/>
  <c r="F70" i="27"/>
  <c r="AU70" i="27"/>
  <c r="CC75" i="28"/>
  <c r="Q75" i="28" a="1"/>
  <c r="Q75" i="28" s="1"/>
  <c r="U75" i="28" a="1"/>
  <c r="U75" i="28" s="1"/>
  <c r="S75" i="28" a="1"/>
  <c r="S75" i="28" s="1"/>
  <c r="W75" i="28" a="1"/>
  <c r="W75" i="28" s="1"/>
  <c r="O75" i="28" a="1"/>
  <c r="O75" i="28" s="1"/>
  <c r="AS73" i="28"/>
  <c r="AR73" i="28"/>
  <c r="AA74" i="28"/>
  <c r="AF74" i="28" s="1"/>
  <c r="X74" i="28"/>
  <c r="AC74" i="28" s="1"/>
  <c r="AP74" i="28" s="1"/>
  <c r="Y235" i="26" l="1"/>
  <c r="AK235" i="26" s="1"/>
  <c r="AO70" i="27"/>
  <c r="AK72" i="27"/>
  <c r="AM72" i="27" s="1"/>
  <c r="AN72" i="27" s="1"/>
  <c r="AV71" i="27"/>
  <c r="M75" i="9"/>
  <c r="M72" i="28" s="1"/>
  <c r="N235" i="39"/>
  <c r="O235" i="39" s="1"/>
  <c r="L78" i="9" s="1"/>
  <c r="K75" i="28" s="1"/>
  <c r="AG79" i="9" a="1"/>
  <c r="AG79" i="9" s="1"/>
  <c r="AK73" i="27" s="1"/>
  <c r="AV70" i="27"/>
  <c r="AZ69" i="27" s="1"/>
  <c r="BD69" i="27" s="1"/>
  <c r="BG69" i="27" s="1"/>
  <c r="BW72" i="28" s="1"/>
  <c r="AJ80" i="9"/>
  <c r="J236" i="26" a="1"/>
  <c r="J236" i="26" s="1"/>
  <c r="V236" i="26" s="1"/>
  <c r="H236" i="26" a="1"/>
  <c r="H236" i="26" s="1"/>
  <c r="T236" i="26" s="1"/>
  <c r="L236" i="26" a="1"/>
  <c r="L236" i="26" s="1"/>
  <c r="X236" i="26" s="1"/>
  <c r="F236" i="26" a="1"/>
  <c r="F236" i="26" s="1"/>
  <c r="I236" i="26" a="1"/>
  <c r="I236" i="26" s="1"/>
  <c r="U236" i="26" s="1"/>
  <c r="K236" i="26" a="1"/>
  <c r="K236" i="26" s="1"/>
  <c r="W236" i="26" s="1"/>
  <c r="G236" i="26" a="1"/>
  <c r="G236" i="26" s="1"/>
  <c r="M236" i="26" a="1"/>
  <c r="M236" i="26" s="1"/>
  <c r="Y75" i="28"/>
  <c r="AD75" i="28" s="1"/>
  <c r="AQ75" i="28" s="1"/>
  <c r="X75" i="28"/>
  <c r="AC75" i="28" s="1"/>
  <c r="AP75" i="28" s="1"/>
  <c r="AA75" i="28"/>
  <c r="AF75" i="28" s="1"/>
  <c r="L236" i="39" a="1"/>
  <c r="L236" i="39" s="1"/>
  <c r="H236" i="39" a="1"/>
  <c r="H236" i="39" s="1"/>
  <c r="I236" i="39" a="1"/>
  <c r="I236" i="39" s="1"/>
  <c r="M236" i="39" a="1"/>
  <c r="M236" i="39" s="1"/>
  <c r="J236" i="39" a="1"/>
  <c r="J236" i="39" s="1"/>
  <c r="K236" i="39" a="1"/>
  <c r="K236" i="39" s="1"/>
  <c r="F236" i="39" a="1"/>
  <c r="F236" i="39" s="1"/>
  <c r="G236" i="39" a="1"/>
  <c r="G236" i="39" s="1"/>
  <c r="O76" i="28" a="1"/>
  <c r="O76" i="28" s="1"/>
  <c r="W76" i="28" a="1"/>
  <c r="W76" i="28" s="1"/>
  <c r="S76" i="28" a="1"/>
  <c r="S76" i="28" s="1"/>
  <c r="U76" i="28" a="1"/>
  <c r="U76" i="28" s="1"/>
  <c r="CC76" i="28"/>
  <c r="Q76" i="28" a="1"/>
  <c r="Q76" i="28" s="1"/>
  <c r="AX78" i="9"/>
  <c r="AW78" i="9"/>
  <c r="AZ70" i="27"/>
  <c r="BD70" i="27" s="1"/>
  <c r="BG70" i="27" s="1"/>
  <c r="BW73" i="28" s="1"/>
  <c r="AI72" i="27"/>
  <c r="AF72" i="27"/>
  <c r="AX72" i="27" s="1"/>
  <c r="AG72" i="27"/>
  <c r="AT79" i="9"/>
  <c r="AH79" i="9"/>
  <c r="AI79" i="9" s="1"/>
  <c r="H76" i="28"/>
  <c r="AU79" i="9"/>
  <c r="AL73" i="27"/>
  <c r="AB72" i="27"/>
  <c r="AW72" i="27" s="1"/>
  <c r="AE72" i="27"/>
  <c r="AC72" i="27" s="1"/>
  <c r="I76" i="9"/>
  <c r="AR70" i="27"/>
  <c r="AS70" i="27" s="1"/>
  <c r="AT70" i="27" s="1"/>
  <c r="I71" i="27"/>
  <c r="U71" i="27"/>
  <c r="G71" i="27" s="1"/>
  <c r="J77" i="9" s="1"/>
  <c r="AN76" i="28"/>
  <c r="AL76" i="28"/>
  <c r="AM76" i="28"/>
  <c r="BV76" i="28"/>
  <c r="AX76" i="28"/>
  <c r="BK76" i="28"/>
  <c r="BQ76" i="28"/>
  <c r="BT76" i="28"/>
  <c r="BS76" i="28"/>
  <c r="BF76" i="28"/>
  <c r="BO76" i="28"/>
  <c r="AH76" i="28"/>
  <c r="BP76" i="28"/>
  <c r="BI76" i="28"/>
  <c r="AY76" i="28"/>
  <c r="AK76" i="28"/>
  <c r="BB76" i="28"/>
  <c r="BR76" i="28"/>
  <c r="AZ76" i="28"/>
  <c r="AI76" i="28"/>
  <c r="BA76" i="28"/>
  <c r="AJ76" i="28"/>
  <c r="BD76" i="28"/>
  <c r="BG76" i="28"/>
  <c r="BH76" i="28"/>
  <c r="BJ76" i="28"/>
  <c r="BN75" i="28"/>
  <c r="BC76" i="28"/>
  <c r="BL76" i="28"/>
  <c r="BU76" i="28"/>
  <c r="AT76" i="28"/>
  <c r="H72" i="27"/>
  <c r="T72" i="27"/>
  <c r="W72" i="27"/>
  <c r="AS74" i="28"/>
  <c r="AR74" i="28"/>
  <c r="BA73" i="27"/>
  <c r="BE73" i="27" s="1"/>
  <c r="BB73" i="27"/>
  <c r="BF73" i="27" s="1"/>
  <c r="AH73" i="27"/>
  <c r="D73" i="27"/>
  <c r="P73" i="27"/>
  <c r="R73" i="27" s="1"/>
  <c r="Q73" i="27"/>
  <c r="S73" i="27" s="1"/>
  <c r="AY73" i="27"/>
  <c r="BC73" i="27" s="1"/>
  <c r="AP73" i="27"/>
  <c r="V73" i="27"/>
  <c r="AD73" i="27"/>
  <c r="Z73" i="27"/>
  <c r="AU71" i="27"/>
  <c r="F71" i="27"/>
  <c r="C237" i="39"/>
  <c r="F80" i="9"/>
  <c r="G80" i="9" a="1"/>
  <c r="G80" i="9" s="1"/>
  <c r="J77" i="28" s="1"/>
  <c r="C237" i="26"/>
  <c r="AF80" i="9"/>
  <c r="AD80" i="9"/>
  <c r="E74" i="27"/>
  <c r="K80" i="9"/>
  <c r="C81" i="9"/>
  <c r="AM80" i="9"/>
  <c r="AK81" i="9" s="1"/>
  <c r="D80" i="9"/>
  <c r="A80" i="9" s="1"/>
  <c r="AL80" i="9"/>
  <c r="AA72" i="27"/>
  <c r="Y72" i="27" s="1"/>
  <c r="X72" i="27"/>
  <c r="AV72" i="27" s="1"/>
  <c r="Y236" i="26" l="1"/>
  <c r="AK236" i="26" s="1"/>
  <c r="AG80" i="9" a="1"/>
  <c r="AG80" i="9" s="1"/>
  <c r="AE80" i="9" s="1"/>
  <c r="AJ74" i="27" s="1"/>
  <c r="AE79" i="9"/>
  <c r="AJ73" i="27" s="1"/>
  <c r="AM73" i="27" s="1"/>
  <c r="AN73" i="27" s="1"/>
  <c r="N236" i="39"/>
  <c r="O236" i="39" s="1"/>
  <c r="L79" i="9" s="1"/>
  <c r="K76" i="28" s="1"/>
  <c r="M76" i="9"/>
  <c r="M73" i="28" s="1"/>
  <c r="I72" i="27"/>
  <c r="U72" i="27"/>
  <c r="G72" i="27" s="1"/>
  <c r="J78" i="9" s="1"/>
  <c r="AA76" i="28"/>
  <c r="AF76" i="28" s="1"/>
  <c r="H73" i="27"/>
  <c r="W73" i="27"/>
  <c r="T73" i="27"/>
  <c r="C238" i="39"/>
  <c r="E75" i="27"/>
  <c r="F81" i="9"/>
  <c r="AD81" i="9"/>
  <c r="G81" i="9" a="1"/>
  <c r="G81" i="9" s="1"/>
  <c r="J78" i="28" s="1"/>
  <c r="K81" i="9"/>
  <c r="C82" i="9"/>
  <c r="AF81" i="9"/>
  <c r="C238" i="26"/>
  <c r="AM81" i="9"/>
  <c r="AK82" i="9" s="1"/>
  <c r="D81" i="9"/>
  <c r="A81" i="9" s="1"/>
  <c r="AL81" i="9"/>
  <c r="K237" i="26" a="1"/>
  <c r="K237" i="26" s="1"/>
  <c r="W237" i="26" s="1"/>
  <c r="H237" i="26" a="1"/>
  <c r="H237" i="26" s="1"/>
  <c r="T237" i="26" s="1"/>
  <c r="G237" i="26" a="1"/>
  <c r="G237" i="26" s="1"/>
  <c r="J237" i="26" a="1"/>
  <c r="J237" i="26" s="1"/>
  <c r="V237" i="26" s="1"/>
  <c r="L237" i="26" a="1"/>
  <c r="L237" i="26" s="1"/>
  <c r="X237" i="26" s="1"/>
  <c r="F237" i="26" a="1"/>
  <c r="F237" i="26" s="1"/>
  <c r="I237" i="26" a="1"/>
  <c r="I237" i="26" s="1"/>
  <c r="U237" i="26" s="1"/>
  <c r="M237" i="26" a="1"/>
  <c r="M237" i="26" s="1"/>
  <c r="AS75" i="28"/>
  <c r="AR75" i="28"/>
  <c r="AU72" i="27"/>
  <c r="F72" i="27"/>
  <c r="AB73" i="27"/>
  <c r="AW73" i="27" s="1"/>
  <c r="AE73" i="27"/>
  <c r="AC73" i="27" s="1"/>
  <c r="AU76" i="28"/>
  <c r="AJ81" i="9"/>
  <c r="AZ71" i="27"/>
  <c r="BD71" i="27" s="1"/>
  <c r="BG71" i="27" s="1"/>
  <c r="BW74" i="28" s="1"/>
  <c r="U77" i="28" a="1"/>
  <c r="U77" i="28" s="1"/>
  <c r="O77" i="28" a="1"/>
  <c r="O77" i="28" s="1"/>
  <c r="W77" i="28" a="1"/>
  <c r="W77" i="28" s="1"/>
  <c r="S77" i="28" a="1"/>
  <c r="S77" i="28" s="1"/>
  <c r="CC77" i="28"/>
  <c r="Q77" i="28" a="1"/>
  <c r="Q77" i="28" s="1"/>
  <c r="X76" i="28"/>
  <c r="AC76" i="28" s="1"/>
  <c r="AP76" i="28" s="1"/>
  <c r="Y76" i="28"/>
  <c r="AD76" i="28" s="1"/>
  <c r="AQ76" i="28" s="1"/>
  <c r="H77" i="28"/>
  <c r="AU80" i="9"/>
  <c r="AL74" i="27"/>
  <c r="AH80" i="9"/>
  <c r="AI80" i="9" s="1"/>
  <c r="AT80" i="9"/>
  <c r="J237" i="39" a="1"/>
  <c r="J237" i="39" s="1"/>
  <c r="I237" i="39" a="1"/>
  <c r="I237" i="39" s="1"/>
  <c r="M237" i="39" a="1"/>
  <c r="M237" i="39" s="1"/>
  <c r="L237" i="39" a="1"/>
  <c r="L237" i="39" s="1"/>
  <c r="H237" i="39" a="1"/>
  <c r="H237" i="39" s="1"/>
  <c r="K237" i="39" a="1"/>
  <c r="K237" i="39" s="1"/>
  <c r="F237" i="39" a="1"/>
  <c r="F237" i="39" s="1"/>
  <c r="G237" i="39" a="1"/>
  <c r="G237" i="39" s="1"/>
  <c r="AA73" i="27"/>
  <c r="Y73" i="27" s="1"/>
  <c r="X73" i="27"/>
  <c r="AV73" i="27" s="1"/>
  <c r="AZ72" i="27" s="1"/>
  <c r="BD72" i="27" s="1"/>
  <c r="BG72" i="27" s="1"/>
  <c r="BW75" i="28" s="1"/>
  <c r="AP74" i="27"/>
  <c r="AH74" i="27"/>
  <c r="Q74" i="27"/>
  <c r="S74" i="27" s="1"/>
  <c r="Z74" i="27"/>
  <c r="AY74" i="27"/>
  <c r="BC74" i="27" s="1"/>
  <c r="P74" i="27"/>
  <c r="R74" i="27" s="1"/>
  <c r="D74" i="27"/>
  <c r="BB74" i="27"/>
  <c r="BF74" i="27" s="1"/>
  <c r="BA74" i="27"/>
  <c r="BE74" i="27" s="1"/>
  <c r="AD74" i="27"/>
  <c r="V74" i="27"/>
  <c r="AF73" i="27"/>
  <c r="AX73" i="27" s="1"/>
  <c r="AG73" i="27"/>
  <c r="AI73" i="27"/>
  <c r="BJ77" i="28"/>
  <c r="BU77" i="28"/>
  <c r="AL77" i="28"/>
  <c r="BG77" i="28"/>
  <c r="BL77" i="28"/>
  <c r="AJ77" i="28"/>
  <c r="BP77" i="28"/>
  <c r="AN77" i="28"/>
  <c r="BA77" i="28"/>
  <c r="AK77" i="28"/>
  <c r="BQ77" i="28"/>
  <c r="BK77" i="28"/>
  <c r="BS77" i="28"/>
  <c r="BH77" i="28"/>
  <c r="AH77" i="28"/>
  <c r="AT77" i="28"/>
  <c r="BO77" i="28"/>
  <c r="BT77" i="28"/>
  <c r="AX77" i="28"/>
  <c r="AZ77" i="28"/>
  <c r="BC77" i="28"/>
  <c r="BR77" i="28"/>
  <c r="AM77" i="28"/>
  <c r="AI77" i="28"/>
  <c r="BN76" i="28"/>
  <c r="BI77" i="28"/>
  <c r="BD77" i="28"/>
  <c r="BV77" i="28"/>
  <c r="BF77" i="28"/>
  <c r="BB77" i="28"/>
  <c r="AY77" i="28"/>
  <c r="I77" i="9"/>
  <c r="AR71" i="27"/>
  <c r="AS71" i="27" s="1"/>
  <c r="AT71" i="27" s="1"/>
  <c r="AO71" i="27"/>
  <c r="AW79" i="9"/>
  <c r="AX79" i="9"/>
  <c r="Y237" i="26" l="1"/>
  <c r="AK237" i="26" s="1"/>
  <c r="AK74" i="27"/>
  <c r="AM74" i="27" s="1"/>
  <c r="AN74" i="27" s="1"/>
  <c r="N237" i="39"/>
  <c r="O237" i="39" s="1"/>
  <c r="L80" i="9" s="1"/>
  <c r="K77" i="28" s="1"/>
  <c r="M77" i="9"/>
  <c r="M74" i="28" s="1"/>
  <c r="AJ82" i="9"/>
  <c r="AG81" i="9" a="1"/>
  <c r="AG81" i="9" s="1"/>
  <c r="AE81" i="9" s="1"/>
  <c r="AJ75" i="27" s="1"/>
  <c r="Y77" i="28"/>
  <c r="AD77" i="28" s="1"/>
  <c r="AQ77" i="28" s="1"/>
  <c r="AU77" i="28"/>
  <c r="I73" i="27"/>
  <c r="U73" i="27"/>
  <c r="G73" i="27" s="1"/>
  <c r="J79" i="9" s="1"/>
  <c r="W74" i="27"/>
  <c r="H74" i="27"/>
  <c r="T74" i="27"/>
  <c r="AT81" i="9"/>
  <c r="AU81" i="9"/>
  <c r="AH81" i="9"/>
  <c r="AI81" i="9" s="1"/>
  <c r="H78" i="28"/>
  <c r="AU78" i="28" s="1"/>
  <c r="AL75" i="27"/>
  <c r="AF74" i="27"/>
  <c r="AX74" i="27" s="1"/>
  <c r="AI74" i="27"/>
  <c r="AG74" i="27"/>
  <c r="V75" i="27"/>
  <c r="BA75" i="27"/>
  <c r="BE75" i="27" s="1"/>
  <c r="AH75" i="27"/>
  <c r="BB75" i="27"/>
  <c r="BF75" i="27" s="1"/>
  <c r="D75" i="27"/>
  <c r="AD75" i="27"/>
  <c r="AP75" i="27"/>
  <c r="AY75" i="27"/>
  <c r="BC75" i="27" s="1"/>
  <c r="P75" i="27"/>
  <c r="R75" i="27" s="1"/>
  <c r="Q75" i="27"/>
  <c r="S75" i="27" s="1"/>
  <c r="Z75" i="27"/>
  <c r="L238" i="39" a="1"/>
  <c r="L238" i="39" s="1"/>
  <c r="H238" i="39" a="1"/>
  <c r="H238" i="39" s="1"/>
  <c r="M238" i="39" a="1"/>
  <c r="M238" i="39" s="1"/>
  <c r="K238" i="39" a="1"/>
  <c r="K238" i="39" s="1"/>
  <c r="J238" i="39" a="1"/>
  <c r="J238" i="39" s="1"/>
  <c r="I238" i="39" a="1"/>
  <c r="I238" i="39" s="1"/>
  <c r="F238" i="39" a="1"/>
  <c r="F238" i="39" s="1"/>
  <c r="G238" i="39" a="1"/>
  <c r="G238" i="39" s="1"/>
  <c r="X77" i="28"/>
  <c r="AC77" i="28" s="1"/>
  <c r="AP77" i="28" s="1"/>
  <c r="AA77" i="28"/>
  <c r="AF77" i="28" s="1"/>
  <c r="AS76" i="28"/>
  <c r="AR76" i="28"/>
  <c r="BG78" i="28"/>
  <c r="BJ78" i="28"/>
  <c r="AN78" i="28"/>
  <c r="BC78" i="28"/>
  <c r="BK78" i="28"/>
  <c r="BB78" i="28"/>
  <c r="BQ78" i="28"/>
  <c r="AY78" i="28"/>
  <c r="BS78" i="28"/>
  <c r="BT78" i="28"/>
  <c r="BA78" i="28"/>
  <c r="BU78" i="28"/>
  <c r="BF78" i="28"/>
  <c r="AJ78" i="28"/>
  <c r="AI78" i="28"/>
  <c r="BI78" i="28"/>
  <c r="AZ78" i="28"/>
  <c r="AH78" i="28"/>
  <c r="BR78" i="28"/>
  <c r="AM78" i="28"/>
  <c r="AK78" i="28"/>
  <c r="AX78" i="28"/>
  <c r="BN77" i="28"/>
  <c r="BP78" i="28"/>
  <c r="BO78" i="28"/>
  <c r="BV78" i="28"/>
  <c r="BH78" i="28"/>
  <c r="BD78" i="28"/>
  <c r="BL78" i="28"/>
  <c r="AT78" i="28"/>
  <c r="AL78" i="28"/>
  <c r="AW80" i="9"/>
  <c r="AX80" i="9"/>
  <c r="H238" i="26" a="1"/>
  <c r="H238" i="26" s="1"/>
  <c r="T238" i="26" s="1"/>
  <c r="J238" i="26" a="1"/>
  <c r="J238" i="26" s="1"/>
  <c r="V238" i="26" s="1"/>
  <c r="K238" i="26" a="1"/>
  <c r="K238" i="26" s="1"/>
  <c r="W238" i="26" s="1"/>
  <c r="G238" i="26" a="1"/>
  <c r="G238" i="26" s="1"/>
  <c r="L238" i="26" a="1"/>
  <c r="L238" i="26" s="1"/>
  <c r="X238" i="26" s="1"/>
  <c r="F238" i="26" a="1"/>
  <c r="F238" i="26" s="1"/>
  <c r="M238" i="26" a="1"/>
  <c r="M238" i="26" s="1"/>
  <c r="I238" i="26" a="1"/>
  <c r="I238" i="26" s="1"/>
  <c r="U238" i="26" s="1"/>
  <c r="X74" i="27"/>
  <c r="AA74" i="27"/>
  <c r="Y74" i="27" s="1"/>
  <c r="I78" i="9"/>
  <c r="AR72" i="27"/>
  <c r="AS72" i="27" s="1"/>
  <c r="AT72" i="27" s="1"/>
  <c r="AO72" i="27"/>
  <c r="F73" i="27"/>
  <c r="AO73" i="27" s="1"/>
  <c r="AU73" i="27"/>
  <c r="AB74" i="27"/>
  <c r="AW74" i="27" s="1"/>
  <c r="AE74" i="27"/>
  <c r="AC74" i="27" s="1"/>
  <c r="C239" i="39"/>
  <c r="C239" i="26"/>
  <c r="G82" i="9" a="1"/>
  <c r="G82" i="9" s="1"/>
  <c r="J79" i="28" s="1"/>
  <c r="K82" i="9"/>
  <c r="E76" i="27"/>
  <c r="C83" i="9"/>
  <c r="F82" i="9"/>
  <c r="AF82" i="9"/>
  <c r="AD82" i="9"/>
  <c r="AM82" i="9"/>
  <c r="AK83" i="9" s="1"/>
  <c r="D82" i="9"/>
  <c r="A82" i="9" s="1"/>
  <c r="AL82" i="9"/>
  <c r="Q78" i="28" a="1"/>
  <c r="Q78" i="28" s="1"/>
  <c r="CC78" i="28"/>
  <c r="S78" i="28" a="1"/>
  <c r="S78" i="28" s="1"/>
  <c r="U78" i="28" a="1"/>
  <c r="U78" i="28" s="1"/>
  <c r="O78" i="28" a="1"/>
  <c r="O78" i="28" s="1"/>
  <c r="W78" i="28" a="1"/>
  <c r="W78" i="28" s="1"/>
  <c r="Y238" i="26" l="1"/>
  <c r="AK238" i="26" s="1"/>
  <c r="AG82" i="9" a="1"/>
  <c r="AG82" i="9" s="1"/>
  <c r="AK76" i="27" s="1"/>
  <c r="M78" i="9"/>
  <c r="M75" i="28" s="1"/>
  <c r="N238" i="39"/>
  <c r="O238" i="39" s="1"/>
  <c r="L81" i="9" s="1"/>
  <c r="K78" i="28" s="1"/>
  <c r="AK75" i="27"/>
  <c r="AM75" i="27" s="1"/>
  <c r="AN75" i="27" s="1"/>
  <c r="AV74" i="27"/>
  <c r="AZ73" i="27" s="1"/>
  <c r="BD73" i="27" s="1"/>
  <c r="BG73" i="27" s="1"/>
  <c r="BW76" i="28" s="1"/>
  <c r="AX81" i="9"/>
  <c r="AW81" i="9"/>
  <c r="AH82" i="9"/>
  <c r="AI82" i="9" s="1"/>
  <c r="AL76" i="27"/>
  <c r="AT82" i="9"/>
  <c r="AU82" i="9"/>
  <c r="H79" i="28"/>
  <c r="AU79" i="28" s="1"/>
  <c r="F74" i="27"/>
  <c r="AU74" i="27"/>
  <c r="AB75" i="27"/>
  <c r="AW75" i="27" s="1"/>
  <c r="AE75" i="27"/>
  <c r="AC75" i="27" s="1"/>
  <c r="K239" i="26" a="1"/>
  <c r="K239" i="26" s="1"/>
  <c r="W239" i="26" s="1"/>
  <c r="G239" i="26" a="1"/>
  <c r="G239" i="26" s="1"/>
  <c r="I239" i="26" a="1"/>
  <c r="I239" i="26" s="1"/>
  <c r="U239" i="26" s="1"/>
  <c r="F239" i="26" a="1"/>
  <c r="F239" i="26" s="1"/>
  <c r="L239" i="26" a="1"/>
  <c r="L239" i="26" s="1"/>
  <c r="X239" i="26" s="1"/>
  <c r="J239" i="26" a="1"/>
  <c r="J239" i="26" s="1"/>
  <c r="V239" i="26" s="1"/>
  <c r="M239" i="26" a="1"/>
  <c r="M239" i="26" s="1"/>
  <c r="H239" i="26" a="1"/>
  <c r="H239" i="26" s="1"/>
  <c r="T239" i="26" s="1"/>
  <c r="H239" i="39" a="1"/>
  <c r="H239" i="39" s="1"/>
  <c r="J239" i="39" a="1"/>
  <c r="J239" i="39" s="1"/>
  <c r="I239" i="39" a="1"/>
  <c r="I239" i="39" s="1"/>
  <c r="L239" i="39" a="1"/>
  <c r="L239" i="39" s="1"/>
  <c r="K239" i="39" a="1"/>
  <c r="K239" i="39" s="1"/>
  <c r="M239" i="39" a="1"/>
  <c r="M239" i="39" s="1"/>
  <c r="F239" i="39" a="1"/>
  <c r="F239" i="39" s="1"/>
  <c r="G239" i="39" a="1"/>
  <c r="G239" i="39" s="1"/>
  <c r="AI75" i="27"/>
  <c r="AG75" i="27"/>
  <c r="AF75" i="27"/>
  <c r="AX75" i="27" s="1"/>
  <c r="AA78" i="28"/>
  <c r="AF78" i="28" s="1"/>
  <c r="Y78" i="28"/>
  <c r="AD78" i="28" s="1"/>
  <c r="AQ78" i="28" s="1"/>
  <c r="X78" i="28"/>
  <c r="AC78" i="28" s="1"/>
  <c r="AP78" i="28" s="1"/>
  <c r="I79" i="9"/>
  <c r="AR73" i="27"/>
  <c r="AS73" i="27" s="1"/>
  <c r="AT73" i="27" s="1"/>
  <c r="I74" i="27"/>
  <c r="U74" i="27"/>
  <c r="G74" i="27" s="1"/>
  <c r="J80" i="9" s="1"/>
  <c r="AJ83" i="9"/>
  <c r="S79" i="28" a="1"/>
  <c r="S79" i="28" s="1"/>
  <c r="O79" i="28" a="1"/>
  <c r="O79" i="28" s="1"/>
  <c r="U79" i="28" a="1"/>
  <c r="U79" i="28" s="1"/>
  <c r="CC79" i="28"/>
  <c r="W79" i="28" a="1"/>
  <c r="W79" i="28" s="1"/>
  <c r="Q79" i="28" a="1"/>
  <c r="Q79" i="28" s="1"/>
  <c r="H75" i="27"/>
  <c r="T75" i="27"/>
  <c r="W75" i="27"/>
  <c r="AS77" i="28"/>
  <c r="AR77" i="28"/>
  <c r="AA75" i="27"/>
  <c r="Y75" i="27" s="1"/>
  <c r="X75" i="27"/>
  <c r="AV75" i="27" s="1"/>
  <c r="C240" i="39"/>
  <c r="K83" i="9"/>
  <c r="C84" i="9"/>
  <c r="G83" i="9" a="1"/>
  <c r="G83" i="9" s="1"/>
  <c r="J80" i="28" s="1"/>
  <c r="F83" i="9"/>
  <c r="AD83" i="9"/>
  <c r="AF83" i="9"/>
  <c r="C240" i="26"/>
  <c r="E77" i="27"/>
  <c r="AM83" i="9"/>
  <c r="AK84" i="9" s="1"/>
  <c r="AL83" i="9"/>
  <c r="D83" i="9"/>
  <c r="A83" i="9" s="1"/>
  <c r="Q76" i="27"/>
  <c r="S76" i="27" s="1"/>
  <c r="P76" i="27"/>
  <c r="R76" i="27" s="1"/>
  <c r="BB76" i="27"/>
  <c r="BF76" i="27" s="1"/>
  <c r="AD76" i="27"/>
  <c r="Z76" i="27"/>
  <c r="AY76" i="27"/>
  <c r="BC76" i="27" s="1"/>
  <c r="BA76" i="27"/>
  <c r="BE76" i="27" s="1"/>
  <c r="AP76" i="27"/>
  <c r="D76" i="27"/>
  <c r="V76" i="27"/>
  <c r="AH76" i="27"/>
  <c r="BQ79" i="28"/>
  <c r="BT79" i="28"/>
  <c r="BO79" i="28"/>
  <c r="BN78" i="28"/>
  <c r="BI79" i="28"/>
  <c r="BP79" i="28"/>
  <c r="AM79" i="28"/>
  <c r="AX79" i="28"/>
  <c r="AT79" i="28"/>
  <c r="BF79" i="28"/>
  <c r="AY79" i="28"/>
  <c r="AJ79" i="28"/>
  <c r="AK79" i="28"/>
  <c r="BJ79" i="28"/>
  <c r="BK79" i="28"/>
  <c r="BR79" i="28"/>
  <c r="BH79" i="28"/>
  <c r="BC79" i="28"/>
  <c r="BG79" i="28"/>
  <c r="BA79" i="28"/>
  <c r="BS79" i="28"/>
  <c r="BD79" i="28"/>
  <c r="BL79" i="28"/>
  <c r="BU79" i="28"/>
  <c r="AN79" i="28"/>
  <c r="BV79" i="28"/>
  <c r="AI79" i="28"/>
  <c r="AL79" i="28"/>
  <c r="AZ79" i="28"/>
  <c r="BB79" i="28"/>
  <c r="AH79" i="28"/>
  <c r="Y239" i="26" l="1"/>
  <c r="AK239" i="26" s="1"/>
  <c r="AE82" i="9"/>
  <c r="AJ76" i="27" s="1"/>
  <c r="AM76" i="27" s="1"/>
  <c r="AN76" i="27" s="1"/>
  <c r="N239" i="39"/>
  <c r="O239" i="39" s="1"/>
  <c r="L82" i="9" s="1"/>
  <c r="K79" i="28" s="1"/>
  <c r="AZ74" i="27"/>
  <c r="BD74" i="27" s="1"/>
  <c r="BG74" i="27" s="1"/>
  <c r="BW77" i="28" s="1"/>
  <c r="M79" i="9"/>
  <c r="M76" i="28" s="1"/>
  <c r="AI76" i="27"/>
  <c r="AG76" i="27"/>
  <c r="AF76" i="27"/>
  <c r="AX76" i="27" s="1"/>
  <c r="F240" i="26" a="1"/>
  <c r="F240" i="26" s="1"/>
  <c r="H240" i="26" a="1"/>
  <c r="H240" i="26" s="1"/>
  <c r="T240" i="26" s="1"/>
  <c r="J240" i="26" a="1"/>
  <c r="J240" i="26" s="1"/>
  <c r="V240" i="26" s="1"/>
  <c r="G240" i="26" a="1"/>
  <c r="G240" i="26" s="1"/>
  <c r="L240" i="26" a="1"/>
  <c r="L240" i="26" s="1"/>
  <c r="X240" i="26" s="1"/>
  <c r="K240" i="26" a="1"/>
  <c r="K240" i="26" s="1"/>
  <c r="W240" i="26" s="1"/>
  <c r="M240" i="26" a="1"/>
  <c r="M240" i="26" s="1"/>
  <c r="I240" i="26" a="1"/>
  <c r="I240" i="26" s="1"/>
  <c r="U240" i="26" s="1"/>
  <c r="AJ84" i="9"/>
  <c r="AB76" i="27"/>
  <c r="AW76" i="27" s="1"/>
  <c r="AE76" i="27"/>
  <c r="AC76" i="27" s="1"/>
  <c r="L240" i="39" a="1"/>
  <c r="L240" i="39" s="1"/>
  <c r="J240" i="39" a="1"/>
  <c r="J240" i="39" s="1"/>
  <c r="K240" i="39" a="1"/>
  <c r="K240" i="39" s="1"/>
  <c r="M240" i="39" a="1"/>
  <c r="M240" i="39" s="1"/>
  <c r="H240" i="39" a="1"/>
  <c r="H240" i="39" s="1"/>
  <c r="I240" i="39" a="1"/>
  <c r="I240" i="39" s="1"/>
  <c r="F240" i="39" a="1"/>
  <c r="F240" i="39" s="1"/>
  <c r="G240" i="39" a="1"/>
  <c r="G240" i="39" s="1"/>
  <c r="Q77" i="27"/>
  <c r="S77" i="27" s="1"/>
  <c r="AH77" i="27"/>
  <c r="P77" i="27"/>
  <c r="R77" i="27" s="1"/>
  <c r="V77" i="27"/>
  <c r="D77" i="27"/>
  <c r="BB77" i="27"/>
  <c r="BF77" i="27" s="1"/>
  <c r="Z77" i="27"/>
  <c r="AY77" i="27"/>
  <c r="BC77" i="27" s="1"/>
  <c r="AD77" i="27"/>
  <c r="AP77" i="27"/>
  <c r="AG83" i="9" a="1"/>
  <c r="AG83" i="9" s="1"/>
  <c r="I75" i="27"/>
  <c r="U75" i="27"/>
  <c r="G75" i="27" s="1"/>
  <c r="J81" i="9" s="1"/>
  <c r="W80" i="28" a="1"/>
  <c r="W80" i="28" s="1"/>
  <c r="CC80" i="28"/>
  <c r="U80" i="28" a="1"/>
  <c r="U80" i="28" s="1"/>
  <c r="O80" i="28" a="1"/>
  <c r="O80" i="28" s="1"/>
  <c r="S80" i="28" a="1"/>
  <c r="S80" i="28" s="1"/>
  <c r="Q80" i="28" a="1"/>
  <c r="Q80" i="28" s="1"/>
  <c r="I80" i="9"/>
  <c r="AR74" i="27"/>
  <c r="AS74" i="27" s="1"/>
  <c r="AT74" i="27" s="1"/>
  <c r="H76" i="27"/>
  <c r="T76" i="27"/>
  <c r="W76" i="27"/>
  <c r="AY80" i="28"/>
  <c r="BK80" i="28"/>
  <c r="AX80" i="28"/>
  <c r="BI80" i="28"/>
  <c r="AJ80" i="28"/>
  <c r="AR80" i="28"/>
  <c r="AS80" i="28"/>
  <c r="BB80" i="28"/>
  <c r="BV80" i="28"/>
  <c r="BT80" i="28"/>
  <c r="AZ80" i="28"/>
  <c r="BF80" i="28"/>
  <c r="BH80" i="28"/>
  <c r="BJ80" i="28"/>
  <c r="AN80" i="28"/>
  <c r="AU80" i="28"/>
  <c r="BD80" i="28"/>
  <c r="BL80" i="28"/>
  <c r="AV80" i="28"/>
  <c r="AK80" i="28"/>
  <c r="AM80" i="28"/>
  <c r="AH80" i="28"/>
  <c r="AL80" i="28"/>
  <c r="BC80" i="28"/>
  <c r="AP80" i="28"/>
  <c r="BG80" i="28"/>
  <c r="AQ80" i="28"/>
  <c r="BA80" i="28"/>
  <c r="AT80" i="28"/>
  <c r="AI80" i="28"/>
  <c r="C241" i="39"/>
  <c r="E78" i="27"/>
  <c r="F84" i="9"/>
  <c r="C241" i="26"/>
  <c r="G84" i="9" a="1"/>
  <c r="G84" i="9" s="1"/>
  <c r="J81" i="28" s="1"/>
  <c r="C85" i="9"/>
  <c r="AD84" i="9"/>
  <c r="K84" i="9"/>
  <c r="AF84" i="9"/>
  <c r="AM84" i="9"/>
  <c r="AK85" i="9" s="1"/>
  <c r="D84" i="9"/>
  <c r="A84" i="9" s="1"/>
  <c r="AL84" i="9"/>
  <c r="AO74" i="27"/>
  <c r="AU75" i="27"/>
  <c r="F75" i="27"/>
  <c r="AW82" i="9"/>
  <c r="AX82" i="9"/>
  <c r="AA79" i="28"/>
  <c r="AF79" i="28" s="1"/>
  <c r="Y79" i="28"/>
  <c r="AD79" i="28" s="1"/>
  <c r="AQ79" i="28" s="1"/>
  <c r="X79" i="28"/>
  <c r="AC79" i="28" s="1"/>
  <c r="AP79" i="28" s="1"/>
  <c r="AU83" i="9"/>
  <c r="H80" i="28"/>
  <c r="BU80" i="28" s="1"/>
  <c r="AL77" i="27"/>
  <c r="AT83" i="9"/>
  <c r="AH83" i="9"/>
  <c r="AI83" i="9" s="1"/>
  <c r="AR78" i="28"/>
  <c r="AS78" i="28"/>
  <c r="AA76" i="27"/>
  <c r="Y76" i="27" s="1"/>
  <c r="X76" i="27"/>
  <c r="Y240" i="26" l="1"/>
  <c r="AK240" i="26" s="1"/>
  <c r="M80" i="9"/>
  <c r="M77" i="28" s="1"/>
  <c r="N240" i="39"/>
  <c r="O240" i="39" s="1"/>
  <c r="L83" i="9" s="1"/>
  <c r="K80" i="28" s="1"/>
  <c r="I81" i="9"/>
  <c r="AR75" i="27"/>
  <c r="AS75" i="27" s="1"/>
  <c r="AT75" i="27" s="1"/>
  <c r="AG84" i="9" a="1"/>
  <c r="AG84" i="9" s="1"/>
  <c r="X77" i="27"/>
  <c r="AA77" i="27"/>
  <c r="Y77" i="27" s="1"/>
  <c r="AO75" i="27"/>
  <c r="AJ85" i="9"/>
  <c r="CC81" i="28"/>
  <c r="Q81" i="28" a="1"/>
  <c r="Q81" i="28" s="1"/>
  <c r="W81" i="28" a="1"/>
  <c r="W81" i="28" s="1"/>
  <c r="O81" i="28" a="1"/>
  <c r="O81" i="28" s="1"/>
  <c r="S81" i="28" a="1"/>
  <c r="S81" i="28" s="1"/>
  <c r="U81" i="28" a="1"/>
  <c r="U81" i="28" s="1"/>
  <c r="U76" i="27"/>
  <c r="G76" i="27" s="1"/>
  <c r="J82" i="9" s="1"/>
  <c r="I76" i="27"/>
  <c r="AH84" i="9"/>
  <c r="AI84" i="9" s="1"/>
  <c r="AT84" i="9"/>
  <c r="AL78" i="27"/>
  <c r="H81" i="28"/>
  <c r="BC81" i="28" s="1"/>
  <c r="AU84" i="9"/>
  <c r="AU76" i="27"/>
  <c r="F76" i="27"/>
  <c r="AX83" i="9"/>
  <c r="AW83" i="9"/>
  <c r="C242" i="39"/>
  <c r="G85" i="9" a="1"/>
  <c r="G85" i="9" s="1"/>
  <c r="J82" i="28" s="1"/>
  <c r="C242" i="26"/>
  <c r="AF85" i="9"/>
  <c r="AD85" i="9"/>
  <c r="K85" i="9"/>
  <c r="F85" i="9"/>
  <c r="C86" i="9"/>
  <c r="E79" i="27"/>
  <c r="AM85" i="9"/>
  <c r="AK86" i="9" s="1"/>
  <c r="D85" i="9"/>
  <c r="A85" i="9" s="1"/>
  <c r="AL85" i="9"/>
  <c r="AG77" i="27"/>
  <c r="AF77" i="27"/>
  <c r="AX77" i="27" s="1"/>
  <c r="AI77" i="27"/>
  <c r="AE83" i="9"/>
  <c r="AJ77" i="27" s="1"/>
  <c r="AK77" i="27"/>
  <c r="BN80" i="28"/>
  <c r="AQ81" i="28"/>
  <c r="BQ81" i="28"/>
  <c r="AN81" i="28"/>
  <c r="BJ81" i="28"/>
  <c r="AP81" i="28"/>
  <c r="AH81" i="28"/>
  <c r="BU81" i="28"/>
  <c r="AI81" i="28"/>
  <c r="AM81" i="28"/>
  <c r="BF81" i="28"/>
  <c r="BO81" i="28"/>
  <c r="BV81" i="28"/>
  <c r="AV81" i="28"/>
  <c r="AS81" i="28"/>
  <c r="AJ81" i="28"/>
  <c r="BL81" i="28"/>
  <c r="AL81" i="28"/>
  <c r="BH81" i="28"/>
  <c r="BR81" i="28"/>
  <c r="BS81" i="28"/>
  <c r="AU81" i="28"/>
  <c r="AR81" i="28"/>
  <c r="BG81" i="28"/>
  <c r="BK81" i="28"/>
  <c r="BT81" i="28"/>
  <c r="BI81" i="28"/>
  <c r="BP81" i="28"/>
  <c r="BB81" i="28"/>
  <c r="AT81" i="28"/>
  <c r="AK81" i="28"/>
  <c r="H77" i="27"/>
  <c r="T77" i="27"/>
  <c r="W77" i="27"/>
  <c r="H241" i="26" a="1"/>
  <c r="H241" i="26" s="1"/>
  <c r="T241" i="26" s="1"/>
  <c r="K241" i="26" a="1"/>
  <c r="K241" i="26" s="1"/>
  <c r="W241" i="26" s="1"/>
  <c r="F241" i="26" a="1"/>
  <c r="F241" i="26" s="1"/>
  <c r="G241" i="26" a="1"/>
  <c r="G241" i="26" s="1"/>
  <c r="J241" i="26" a="1"/>
  <c r="J241" i="26" s="1"/>
  <c r="V241" i="26" s="1"/>
  <c r="I241" i="26" a="1"/>
  <c r="I241" i="26" s="1"/>
  <c r="U241" i="26" s="1"/>
  <c r="M241" i="26" a="1"/>
  <c r="M241" i="26" s="1"/>
  <c r="L241" i="26" a="1"/>
  <c r="L241" i="26" s="1"/>
  <c r="X241" i="26" s="1"/>
  <c r="Q78" i="27"/>
  <c r="S78" i="27" s="1"/>
  <c r="V78" i="27"/>
  <c r="AD78" i="27"/>
  <c r="Z78" i="27"/>
  <c r="AH78" i="27"/>
  <c r="P78" i="27"/>
  <c r="R78" i="27" s="1"/>
  <c r="BB78" i="27"/>
  <c r="BF78" i="27" s="1"/>
  <c r="AP78" i="27"/>
  <c r="D78" i="27"/>
  <c r="AY78" i="27"/>
  <c r="BC78" i="27" s="1"/>
  <c r="BO80" i="28"/>
  <c r="AE77" i="27"/>
  <c r="AC77" i="27" s="1"/>
  <c r="AB77" i="27"/>
  <c r="AA80" i="28"/>
  <c r="AF80" i="28" s="1"/>
  <c r="X80" i="28"/>
  <c r="Y80" i="28"/>
  <c r="AD80" i="28" s="1"/>
  <c r="BQ80" i="28" s="1"/>
  <c r="AS79" i="28"/>
  <c r="AR79" i="28"/>
  <c r="BN79" i="28"/>
  <c r="AV76" i="27"/>
  <c r="AZ75" i="27" s="1"/>
  <c r="BD75" i="27" s="1"/>
  <c r="BG75" i="27" s="1"/>
  <c r="BW78" i="28" s="1"/>
  <c r="I241" i="39" a="1"/>
  <c r="I241" i="39" s="1"/>
  <c r="J241" i="39" a="1"/>
  <c r="J241" i="39" s="1"/>
  <c r="M241" i="39" a="1"/>
  <c r="M241" i="39" s="1"/>
  <c r="H241" i="39" a="1"/>
  <c r="H241" i="39" s="1"/>
  <c r="L241" i="39" a="1"/>
  <c r="L241" i="39" s="1"/>
  <c r="K241" i="39" a="1"/>
  <c r="K241" i="39" s="1"/>
  <c r="F241" i="39" a="1"/>
  <c r="F241" i="39" s="1"/>
  <c r="G241" i="39" a="1"/>
  <c r="G241" i="39" s="1"/>
  <c r="Y241" i="26" l="1"/>
  <c r="AK241" i="26" s="1"/>
  <c r="M81" i="9"/>
  <c r="M78" i="28" s="1"/>
  <c r="N241" i="39"/>
  <c r="O241" i="39" s="1"/>
  <c r="L84" i="9" s="1"/>
  <c r="K81" i="28" s="1"/>
  <c r="AG85" i="9" a="1"/>
  <c r="AG85" i="9" s="1"/>
  <c r="AE78" i="27"/>
  <c r="AC78" i="27" s="1"/>
  <c r="AB78" i="27"/>
  <c r="H78" i="27"/>
  <c r="W78" i="27"/>
  <c r="T78" i="27"/>
  <c r="AC80" i="28"/>
  <c r="BP80" i="28"/>
  <c r="I77" i="27"/>
  <c r="U77" i="27"/>
  <c r="G77" i="27" s="1"/>
  <c r="J83" i="9" s="1"/>
  <c r="F77" i="27"/>
  <c r="AU77" i="27"/>
  <c r="AV77" i="27"/>
  <c r="AZ76" i="27" s="1"/>
  <c r="BD76" i="27" s="1"/>
  <c r="BG76" i="27" s="1"/>
  <c r="BW79" i="28" s="1"/>
  <c r="AW77" i="27"/>
  <c r="AE84" i="9"/>
  <c r="AJ78" i="27" s="1"/>
  <c r="AK78" i="27"/>
  <c r="W82" i="28" a="1"/>
  <c r="W82" i="28" s="1"/>
  <c r="S82" i="28" a="1"/>
  <c r="S82" i="28" s="1"/>
  <c r="U82" i="28" a="1"/>
  <c r="U82" i="28" s="1"/>
  <c r="O82" i="28" a="1"/>
  <c r="O82" i="28" s="1"/>
  <c r="CC82" i="28"/>
  <c r="Q82" i="28" a="1"/>
  <c r="Q82" i="28" s="1"/>
  <c r="P79" i="27"/>
  <c r="R79" i="27" s="1"/>
  <c r="D79" i="27"/>
  <c r="AZ79" i="27"/>
  <c r="BD79" i="27" s="1"/>
  <c r="AP79" i="27"/>
  <c r="AD79" i="27"/>
  <c r="V79" i="27"/>
  <c r="AY79" i="27"/>
  <c r="BC79" i="27" s="1"/>
  <c r="Z79" i="27"/>
  <c r="AH79" i="27"/>
  <c r="BB79" i="27"/>
  <c r="BF79" i="27" s="1"/>
  <c r="Q79" i="27"/>
  <c r="S79" i="27" s="1"/>
  <c r="Y81" i="28"/>
  <c r="AD81" i="28" s="1"/>
  <c r="AY81" i="28" s="1"/>
  <c r="X81" i="28"/>
  <c r="AC81" i="28" s="1"/>
  <c r="AX81" i="28" s="1"/>
  <c r="AA81" i="28"/>
  <c r="AF81" i="28" s="1"/>
  <c r="AF78" i="27"/>
  <c r="AX78" i="27" s="1"/>
  <c r="AI78" i="27"/>
  <c r="AG78" i="27"/>
  <c r="AK79" i="27"/>
  <c r="AE85" i="9"/>
  <c r="AJ79" i="27" s="1"/>
  <c r="AA78" i="27"/>
  <c r="Y78" i="27" s="1"/>
  <c r="X78" i="27"/>
  <c r="AJ86" i="9"/>
  <c r="AX84" i="9"/>
  <c r="AW84" i="9"/>
  <c r="C243" i="39"/>
  <c r="E80" i="27"/>
  <c r="K86" i="9"/>
  <c r="AD86" i="9"/>
  <c r="AF86" i="9"/>
  <c r="F86" i="9"/>
  <c r="C87" i="9"/>
  <c r="G86" i="9" a="1"/>
  <c r="G86" i="9" s="1"/>
  <c r="J83" i="28" s="1"/>
  <c r="C243" i="26"/>
  <c r="AM86" i="9"/>
  <c r="AK87" i="9" s="1"/>
  <c r="AL86" i="9"/>
  <c r="D86" i="9"/>
  <c r="A86" i="9" s="1"/>
  <c r="J242" i="26" a="1"/>
  <c r="J242" i="26" s="1"/>
  <c r="V242" i="26" s="1"/>
  <c r="G242" i="26" a="1"/>
  <c r="G242" i="26" s="1"/>
  <c r="L242" i="26" a="1"/>
  <c r="L242" i="26" s="1"/>
  <c r="X242" i="26" s="1"/>
  <c r="I242" i="26" a="1"/>
  <c r="I242" i="26" s="1"/>
  <c r="U242" i="26" s="1"/>
  <c r="K242" i="26" a="1"/>
  <c r="K242" i="26" s="1"/>
  <c r="W242" i="26" s="1"/>
  <c r="F242" i="26" a="1"/>
  <c r="F242" i="26" s="1"/>
  <c r="M242" i="26" a="1"/>
  <c r="M242" i="26" s="1"/>
  <c r="H242" i="26" a="1"/>
  <c r="H242" i="26" s="1"/>
  <c r="T242" i="26" s="1"/>
  <c r="J242" i="39" a="1"/>
  <c r="J242" i="39" s="1"/>
  <c r="L242" i="39" a="1"/>
  <c r="L242" i="39" s="1"/>
  <c r="K242" i="39" a="1"/>
  <c r="K242" i="39" s="1"/>
  <c r="H242" i="39" a="1"/>
  <c r="H242" i="39" s="1"/>
  <c r="I242" i="39" a="1"/>
  <c r="I242" i="39" s="1"/>
  <c r="M242" i="39" a="1"/>
  <c r="M242" i="39" s="1"/>
  <c r="F242" i="39" a="1"/>
  <c r="F242" i="39" s="1"/>
  <c r="G242" i="39" a="1"/>
  <c r="G242" i="39" s="1"/>
  <c r="H82" i="28"/>
  <c r="BC82" i="28" s="1"/>
  <c r="AL79" i="27"/>
  <c r="AU85" i="9"/>
  <c r="AH85" i="9"/>
  <c r="AI85" i="9" s="1"/>
  <c r="AT85" i="9"/>
  <c r="AR76" i="27"/>
  <c r="AS76" i="27" s="1"/>
  <c r="AT76" i="27" s="1"/>
  <c r="I82" i="9"/>
  <c r="AO76" i="27"/>
  <c r="BR80" i="28"/>
  <c r="BS80" i="28"/>
  <c r="AM77" i="27"/>
  <c r="AN77" i="27" s="1"/>
  <c r="AJ82" i="28"/>
  <c r="AR82" i="28"/>
  <c r="AK82" i="28"/>
  <c r="BH82" i="28"/>
  <c r="AM82" i="28"/>
  <c r="BI82" i="28"/>
  <c r="BL82" i="28"/>
  <c r="BT82" i="28"/>
  <c r="AS82" i="28"/>
  <c r="BO82" i="28"/>
  <c r="AQ82" i="28"/>
  <c r="AU82" i="28"/>
  <c r="BF82" i="28"/>
  <c r="AH82" i="28"/>
  <c r="AT82" i="28"/>
  <c r="AV82" i="28"/>
  <c r="BB82" i="28"/>
  <c r="BG82" i="28"/>
  <c r="BR82" i="28"/>
  <c r="BK82" i="28"/>
  <c r="AN82" i="28"/>
  <c r="BS82" i="28"/>
  <c r="BQ82" i="28"/>
  <c r="BU82" i="28"/>
  <c r="AP82" i="28"/>
  <c r="AI82" i="28"/>
  <c r="BN81" i="28"/>
  <c r="BP82" i="28"/>
  <c r="BV82" i="28"/>
  <c r="AL82" i="28"/>
  <c r="BJ82" i="28"/>
  <c r="Y242" i="26" l="1"/>
  <c r="AK242" i="26" s="1"/>
  <c r="AM79" i="27"/>
  <c r="AN79" i="27" s="1"/>
  <c r="M82" i="9"/>
  <c r="M79" i="28" s="1"/>
  <c r="N242" i="39"/>
  <c r="O242" i="39" s="1"/>
  <c r="L85" i="9" s="1"/>
  <c r="K82" i="28" s="1"/>
  <c r="AJ87" i="9"/>
  <c r="BX80" i="28"/>
  <c r="AG86" i="9" a="1"/>
  <c r="AG86" i="9" s="1"/>
  <c r="AU78" i="27"/>
  <c r="F78" i="27"/>
  <c r="BA81" i="28"/>
  <c r="AZ81" i="28"/>
  <c r="AA82" i="28"/>
  <c r="AF82" i="28" s="1"/>
  <c r="X82" i="28"/>
  <c r="AC82" i="28" s="1"/>
  <c r="AX82" i="28" s="1"/>
  <c r="Y82" i="28"/>
  <c r="AD82" i="28" s="1"/>
  <c r="AY82" i="28" s="1"/>
  <c r="I78" i="27"/>
  <c r="U78" i="27"/>
  <c r="G78" i="27" s="1"/>
  <c r="J84" i="9" s="1"/>
  <c r="AW85" i="9"/>
  <c r="AX85" i="9"/>
  <c r="CC83" i="28"/>
  <c r="W83" i="28" a="1"/>
  <c r="W83" i="28" s="1"/>
  <c r="U83" i="28" a="1"/>
  <c r="U83" i="28" s="1"/>
  <c r="Q83" i="28" a="1"/>
  <c r="Q83" i="28" s="1"/>
  <c r="O83" i="28" a="1"/>
  <c r="O83" i="28" s="1"/>
  <c r="S83" i="28" a="1"/>
  <c r="S83" i="28" s="1"/>
  <c r="AE79" i="27"/>
  <c r="AC79" i="27" s="1"/>
  <c r="AB79" i="27"/>
  <c r="AU83" i="28"/>
  <c r="AI83" i="28"/>
  <c r="AL83" i="28"/>
  <c r="AT83" i="28"/>
  <c r="BG83" i="28"/>
  <c r="BJ83" i="28"/>
  <c r="AP83" i="28"/>
  <c r="AH83" i="28"/>
  <c r="AJ83" i="28"/>
  <c r="BS83" i="28"/>
  <c r="BR83" i="28"/>
  <c r="BH83" i="28"/>
  <c r="BV83" i="28"/>
  <c r="BP83" i="28"/>
  <c r="AS83" i="28"/>
  <c r="BN82" i="28"/>
  <c r="BU83" i="28"/>
  <c r="BQ83" i="28"/>
  <c r="BO83" i="28"/>
  <c r="AR83" i="28"/>
  <c r="BT83" i="28"/>
  <c r="AN83" i="28"/>
  <c r="BL83" i="28"/>
  <c r="AV83" i="28"/>
  <c r="AM83" i="28"/>
  <c r="BI83" i="28"/>
  <c r="AQ83" i="28"/>
  <c r="BK83" i="28"/>
  <c r="AK83" i="28"/>
  <c r="BF83" i="28"/>
  <c r="BB83" i="28"/>
  <c r="AD80" i="27"/>
  <c r="AY80" i="27"/>
  <c r="BC80" i="27" s="1"/>
  <c r="AZ80" i="27"/>
  <c r="BD80" i="27" s="1"/>
  <c r="AP80" i="27"/>
  <c r="D80" i="27"/>
  <c r="AH80" i="27"/>
  <c r="BB80" i="27"/>
  <c r="BF80" i="27" s="1"/>
  <c r="V80" i="27"/>
  <c r="P80" i="27"/>
  <c r="R80" i="27" s="1"/>
  <c r="Z80" i="27"/>
  <c r="Q80" i="27"/>
  <c r="S80" i="27" s="1"/>
  <c r="J243" i="26" a="1"/>
  <c r="J243" i="26" s="1"/>
  <c r="V243" i="26" s="1"/>
  <c r="I243" i="26" a="1"/>
  <c r="I243" i="26" s="1"/>
  <c r="U243" i="26" s="1"/>
  <c r="F243" i="26" a="1"/>
  <c r="F243" i="26" s="1"/>
  <c r="H243" i="26" a="1"/>
  <c r="H243" i="26" s="1"/>
  <c r="T243" i="26" s="1"/>
  <c r="G243" i="26" a="1"/>
  <c r="G243" i="26" s="1"/>
  <c r="L243" i="26" a="1"/>
  <c r="L243" i="26" s="1"/>
  <c r="X243" i="26" s="1"/>
  <c r="M243" i="26" a="1"/>
  <c r="M243" i="26" s="1"/>
  <c r="K243" i="26" a="1"/>
  <c r="K243" i="26" s="1"/>
  <c r="W243" i="26" s="1"/>
  <c r="AO77" i="27"/>
  <c r="L243" i="39" a="1"/>
  <c r="L243" i="39" s="1"/>
  <c r="I243" i="39" a="1"/>
  <c r="I243" i="39" s="1"/>
  <c r="H243" i="39" a="1"/>
  <c r="H243" i="39" s="1"/>
  <c r="K243" i="39" a="1"/>
  <c r="K243" i="39" s="1"/>
  <c r="J243" i="39" a="1"/>
  <c r="J243" i="39" s="1"/>
  <c r="M243" i="39" a="1"/>
  <c r="M243" i="39" s="1"/>
  <c r="F243" i="39" a="1"/>
  <c r="F243" i="39" s="1"/>
  <c r="G243" i="39" a="1"/>
  <c r="G243" i="39" s="1"/>
  <c r="AW78" i="27"/>
  <c r="BA77" i="27" s="1"/>
  <c r="BE77" i="27" s="1"/>
  <c r="AL80" i="27"/>
  <c r="AH86" i="9"/>
  <c r="AI86" i="9" s="1"/>
  <c r="AU86" i="9"/>
  <c r="H83" i="28"/>
  <c r="BC83" i="28" s="1"/>
  <c r="AT86" i="9"/>
  <c r="T79" i="27"/>
  <c r="H79" i="27"/>
  <c r="W79" i="27"/>
  <c r="AA79" i="27"/>
  <c r="Y79" i="27" s="1"/>
  <c r="X79" i="27"/>
  <c r="AV79" i="27" s="1"/>
  <c r="AV78" i="27"/>
  <c r="AZ77" i="27" s="1"/>
  <c r="BD77" i="27" s="1"/>
  <c r="AR77" i="27"/>
  <c r="AS77" i="27" s="1"/>
  <c r="AT77" i="27" s="1"/>
  <c r="I83" i="9"/>
  <c r="C244" i="39"/>
  <c r="G87" i="9" a="1"/>
  <c r="G87" i="9" s="1"/>
  <c r="J84" i="28" s="1"/>
  <c r="C244" i="26"/>
  <c r="AF87" i="9"/>
  <c r="C88" i="9"/>
  <c r="E81" i="27"/>
  <c r="K87" i="9"/>
  <c r="F87" i="9"/>
  <c r="AD87" i="9"/>
  <c r="AM87" i="9"/>
  <c r="AK88" i="9" s="1"/>
  <c r="AL87" i="9"/>
  <c r="D87" i="9"/>
  <c r="A87" i="9" s="1"/>
  <c r="AF79" i="27"/>
  <c r="AX79" i="27" s="1"/>
  <c r="AI79" i="27"/>
  <c r="AG79" i="27"/>
  <c r="AM78" i="27"/>
  <c r="AN78" i="27" s="1"/>
  <c r="Y243" i="26" l="1"/>
  <c r="AK243" i="26" s="1"/>
  <c r="AJ88" i="9"/>
  <c r="M83" i="9"/>
  <c r="M80" i="28" s="1"/>
  <c r="N243" i="39"/>
  <c r="O243" i="39" s="1"/>
  <c r="L86" i="9" s="1"/>
  <c r="K83" i="28" s="1"/>
  <c r="AW79" i="27"/>
  <c r="BA78" i="27" s="1"/>
  <c r="BE78" i="27" s="1"/>
  <c r="AG87" i="9" a="1"/>
  <c r="AG87" i="9" s="1"/>
  <c r="AE87" i="9" s="1"/>
  <c r="AJ81" i="27" s="1"/>
  <c r="X80" i="27"/>
  <c r="AV80" i="27" s="1"/>
  <c r="AA80" i="27"/>
  <c r="X83" i="28"/>
  <c r="AC83" i="28" s="1"/>
  <c r="AX83" i="28" s="1"/>
  <c r="Y83" i="28"/>
  <c r="AD83" i="28" s="1"/>
  <c r="AY83" i="28" s="1"/>
  <c r="AA83" i="28"/>
  <c r="AF83" i="28" s="1"/>
  <c r="BG77" i="27"/>
  <c r="BW80" i="28" s="1"/>
  <c r="BY80" i="28" s="1"/>
  <c r="CE80" i="28" s="1"/>
  <c r="AE80" i="27"/>
  <c r="AC80" i="27" s="1"/>
  <c r="AB80" i="27"/>
  <c r="BA82" i="28"/>
  <c r="AZ82" i="28"/>
  <c r="AU79" i="27"/>
  <c r="F79" i="27"/>
  <c r="AO79" i="27" s="1"/>
  <c r="AE86" i="9"/>
  <c r="AJ80" i="27" s="1"/>
  <c r="AK80" i="27"/>
  <c r="AH87" i="9"/>
  <c r="AI87" i="9" s="1"/>
  <c r="AT87" i="9"/>
  <c r="H84" i="28"/>
  <c r="BC84" i="28" s="1"/>
  <c r="AU87" i="9"/>
  <c r="AL81" i="27"/>
  <c r="V81" i="27"/>
  <c r="Z81" i="27"/>
  <c r="Q81" i="27"/>
  <c r="S81" i="27" s="1"/>
  <c r="AZ81" i="27"/>
  <c r="BD81" i="27" s="1"/>
  <c r="D81" i="27"/>
  <c r="AP81" i="27"/>
  <c r="AY81" i="27"/>
  <c r="BC81" i="27" s="1"/>
  <c r="BB81" i="27"/>
  <c r="BF81" i="27" s="1"/>
  <c r="AD81" i="27"/>
  <c r="AH81" i="27"/>
  <c r="P81" i="27"/>
  <c r="R81" i="27" s="1"/>
  <c r="C245" i="39"/>
  <c r="AD88" i="9"/>
  <c r="C89" i="9"/>
  <c r="F88" i="9"/>
  <c r="C245" i="26"/>
  <c r="E82" i="27"/>
  <c r="K88" i="9"/>
  <c r="G88" i="9" a="1"/>
  <c r="G88" i="9" s="1"/>
  <c r="J85" i="28" s="1"/>
  <c r="AF88" i="9"/>
  <c r="AM88" i="9"/>
  <c r="AK89" i="9" s="1"/>
  <c r="D88" i="9"/>
  <c r="A88" i="9" s="1"/>
  <c r="AL88" i="9"/>
  <c r="I79" i="27"/>
  <c r="U79" i="27"/>
  <c r="G79" i="27" s="1"/>
  <c r="AW86" i="9"/>
  <c r="AX86" i="9"/>
  <c r="T80" i="27"/>
  <c r="H80" i="27"/>
  <c r="W80" i="27"/>
  <c r="U80" i="27" s="1"/>
  <c r="L244" i="26" a="1"/>
  <c r="L244" i="26" s="1"/>
  <c r="X244" i="26" s="1"/>
  <c r="J244" i="26" a="1"/>
  <c r="J244" i="26" s="1"/>
  <c r="V244" i="26" s="1"/>
  <c r="H244" i="26" a="1"/>
  <c r="H244" i="26" s="1"/>
  <c r="T244" i="26" s="1"/>
  <c r="I244" i="26" a="1"/>
  <c r="I244" i="26" s="1"/>
  <c r="U244" i="26" s="1"/>
  <c r="K244" i="26" a="1"/>
  <c r="K244" i="26" s="1"/>
  <c r="W244" i="26" s="1"/>
  <c r="F244" i="26" a="1"/>
  <c r="F244" i="26" s="1"/>
  <c r="G244" i="26" a="1"/>
  <c r="G244" i="26" s="1"/>
  <c r="M244" i="26" a="1"/>
  <c r="M244" i="26" s="1"/>
  <c r="AQ84" i="28"/>
  <c r="AT84" i="28"/>
  <c r="BK84" i="28"/>
  <c r="BI84" i="28"/>
  <c r="AJ84" i="28"/>
  <c r="AU84" i="28"/>
  <c r="AS84" i="28"/>
  <c r="BO84" i="28"/>
  <c r="BH84" i="28"/>
  <c r="BQ84" i="28"/>
  <c r="AV84" i="28"/>
  <c r="AR84" i="28"/>
  <c r="BN83" i="28"/>
  <c r="AN84" i="28"/>
  <c r="BT84" i="28"/>
  <c r="BV84" i="28"/>
  <c r="BL84" i="28"/>
  <c r="AP84" i="28"/>
  <c r="BU84" i="28"/>
  <c r="BG84" i="28"/>
  <c r="BR84" i="28"/>
  <c r="BJ84" i="28"/>
  <c r="BS84" i="28"/>
  <c r="AL84" i="28"/>
  <c r="BF84" i="28"/>
  <c r="AI84" i="28"/>
  <c r="AK84" i="28"/>
  <c r="AM84" i="28"/>
  <c r="BP84" i="28"/>
  <c r="AH84" i="28"/>
  <c r="BB84" i="28"/>
  <c r="AI80" i="27"/>
  <c r="AG80" i="27"/>
  <c r="AF80" i="27"/>
  <c r="AX80" i="27" s="1"/>
  <c r="AZ78" i="27"/>
  <c r="BD78" i="27" s="1"/>
  <c r="I84" i="9"/>
  <c r="AR78" i="27"/>
  <c r="AS78" i="27" s="1"/>
  <c r="AT78" i="27" s="1"/>
  <c r="Q84" i="28" a="1"/>
  <c r="Q84" i="28" s="1"/>
  <c r="O84" i="28" a="1"/>
  <c r="O84" i="28" s="1"/>
  <c r="S84" i="28" a="1"/>
  <c r="S84" i="28" s="1"/>
  <c r="W84" i="28" a="1"/>
  <c r="W84" i="28" s="1"/>
  <c r="CC84" i="28"/>
  <c r="U84" i="28" a="1"/>
  <c r="U84" i="28" s="1"/>
  <c r="AO78" i="27"/>
  <c r="H244" i="39" a="1"/>
  <c r="H244" i="39" s="1"/>
  <c r="J244" i="39" a="1"/>
  <c r="J244" i="39" s="1"/>
  <c r="L244" i="39" a="1"/>
  <c r="L244" i="39" s="1"/>
  <c r="M244" i="39" a="1"/>
  <c r="M244" i="39" s="1"/>
  <c r="K244" i="39" a="1"/>
  <c r="K244" i="39" s="1"/>
  <c r="I244" i="39" a="1"/>
  <c r="I244" i="39" s="1"/>
  <c r="F244" i="39" a="1"/>
  <c r="F244" i="39" s="1"/>
  <c r="G244" i="39" a="1"/>
  <c r="G244" i="39" s="1"/>
  <c r="Y244" i="26" l="1"/>
  <c r="AK244" i="26" s="1"/>
  <c r="AK81" i="27"/>
  <c r="AM81" i="27" s="1"/>
  <c r="AN81" i="27" s="1"/>
  <c r="N244" i="39"/>
  <c r="O244" i="39" s="1"/>
  <c r="L87" i="9" s="1"/>
  <c r="K84" i="28" s="1"/>
  <c r="M84" i="9"/>
  <c r="M81" i="28" s="1"/>
  <c r="AW80" i="27"/>
  <c r="J85" i="9"/>
  <c r="T81" i="27"/>
  <c r="H81" i="27"/>
  <c r="W81" i="27"/>
  <c r="U81" i="27" s="1"/>
  <c r="F80" i="27"/>
  <c r="AU80" i="27"/>
  <c r="X84" i="28"/>
  <c r="AC84" i="28" s="1"/>
  <c r="AX84" i="28" s="1"/>
  <c r="Y84" i="28"/>
  <c r="AD84" i="28" s="1"/>
  <c r="AY84" i="28" s="1"/>
  <c r="AA84" i="28"/>
  <c r="AF84" i="28" s="1"/>
  <c r="AA81" i="27"/>
  <c r="X81" i="27"/>
  <c r="AV81" i="27" s="1"/>
  <c r="H245" i="26" a="1"/>
  <c r="H245" i="26" s="1"/>
  <c r="T245" i="26" s="1"/>
  <c r="K245" i="26" a="1"/>
  <c r="K245" i="26" s="1"/>
  <c r="W245" i="26" s="1"/>
  <c r="F245" i="26" a="1"/>
  <c r="F245" i="26" s="1"/>
  <c r="J245" i="26" a="1"/>
  <c r="J245" i="26" s="1"/>
  <c r="V245" i="26" s="1"/>
  <c r="I245" i="26" a="1"/>
  <c r="I245" i="26" s="1"/>
  <c r="U245" i="26" s="1"/>
  <c r="G245" i="26" a="1"/>
  <c r="G245" i="26" s="1"/>
  <c r="L245" i="26" a="1"/>
  <c r="L245" i="26" s="1"/>
  <c r="X245" i="26" s="1"/>
  <c r="M245" i="26" a="1"/>
  <c r="M245" i="26" s="1"/>
  <c r="E240" i="39"/>
  <c r="E240" i="26"/>
  <c r="C246" i="39"/>
  <c r="E83" i="27"/>
  <c r="C246" i="26"/>
  <c r="C90" i="9"/>
  <c r="G89" i="9" a="1"/>
  <c r="G89" i="9" s="1"/>
  <c r="J86" i="28" s="1"/>
  <c r="F89" i="9"/>
  <c r="AF89" i="9"/>
  <c r="AD89" i="9"/>
  <c r="K89" i="9"/>
  <c r="AM89" i="9"/>
  <c r="AK90" i="9" s="1"/>
  <c r="D89" i="9"/>
  <c r="A89" i="9" s="1"/>
  <c r="AL89" i="9"/>
  <c r="AX87" i="9"/>
  <c r="AW87" i="9"/>
  <c r="M245" i="39" a="1"/>
  <c r="M245" i="39" s="1"/>
  <c r="L245" i="39" a="1"/>
  <c r="L245" i="39" s="1"/>
  <c r="H245" i="39" a="1"/>
  <c r="H245" i="39" s="1"/>
  <c r="J245" i="39" a="1"/>
  <c r="J245" i="39" s="1"/>
  <c r="K245" i="39" a="1"/>
  <c r="K245" i="39" s="1"/>
  <c r="I245" i="39" a="1"/>
  <c r="I245" i="39" s="1"/>
  <c r="F245" i="39" a="1"/>
  <c r="F245" i="39" s="1"/>
  <c r="G245" i="39" a="1"/>
  <c r="G245" i="39" s="1"/>
  <c r="AF81" i="27"/>
  <c r="AX81" i="27" s="1"/>
  <c r="AI81" i="27"/>
  <c r="AG81" i="27"/>
  <c r="AH82" i="27"/>
  <c r="D82" i="27"/>
  <c r="Z82" i="27"/>
  <c r="AD82" i="27"/>
  <c r="AY82" i="27"/>
  <c r="BC82" i="27" s="1"/>
  <c r="AZ82" i="27"/>
  <c r="BD82" i="27" s="1"/>
  <c r="AP82" i="27"/>
  <c r="Q82" i="27"/>
  <c r="S82" i="27" s="1"/>
  <c r="BB82" i="27"/>
  <c r="BF82" i="27" s="1"/>
  <c r="P82" i="27"/>
  <c r="R82" i="27" s="1"/>
  <c r="V82" i="27"/>
  <c r="AG88" i="9" a="1"/>
  <c r="AG88" i="9" s="1"/>
  <c r="BG78" i="27"/>
  <c r="BW81" i="28" s="1"/>
  <c r="AJ89" i="9"/>
  <c r="AE81" i="27"/>
  <c r="AC81" i="27" s="1"/>
  <c r="AB81" i="27"/>
  <c r="BA79" i="27"/>
  <c r="BE79" i="27" s="1"/>
  <c r="BG79" i="27" s="1"/>
  <c r="BW82" i="28" s="1"/>
  <c r="I85" i="9"/>
  <c r="AR79" i="27"/>
  <c r="AS79" i="27" s="1"/>
  <c r="AT79" i="27" s="1"/>
  <c r="AZ83" i="28"/>
  <c r="BA83" i="28"/>
  <c r="BQ85" i="28"/>
  <c r="BT85" i="28"/>
  <c r="AN85" i="28"/>
  <c r="BP85" i="28"/>
  <c r="AI85" i="28"/>
  <c r="AJ85" i="28"/>
  <c r="AT85" i="28"/>
  <c r="BU85" i="28"/>
  <c r="BH85" i="28"/>
  <c r="BR85" i="28"/>
  <c r="AK85" i="28"/>
  <c r="AU85" i="28"/>
  <c r="BS85" i="28"/>
  <c r="BK85" i="28"/>
  <c r="BI85" i="28"/>
  <c r="AH85" i="28"/>
  <c r="BO85" i="28"/>
  <c r="BF85" i="28"/>
  <c r="BV85" i="28"/>
  <c r="BN84" i="28"/>
  <c r="BJ85" i="28"/>
  <c r="AV85" i="28"/>
  <c r="BL85" i="28"/>
  <c r="AL85" i="28"/>
  <c r="AP85" i="28"/>
  <c r="BG85" i="28"/>
  <c r="AM85" i="28"/>
  <c r="AR85" i="28"/>
  <c r="AQ85" i="28"/>
  <c r="AS85" i="28"/>
  <c r="BB85" i="28"/>
  <c r="O85" i="28" a="1"/>
  <c r="O85" i="28" s="1"/>
  <c r="U85" i="28" a="1"/>
  <c r="U85" i="28" s="1"/>
  <c r="W85" i="28" a="1"/>
  <c r="W85" i="28" s="1"/>
  <c r="CC85" i="28"/>
  <c r="Q85" i="28" a="1"/>
  <c r="Q85" i="28" s="1"/>
  <c r="S85" i="28" a="1"/>
  <c r="S85" i="28" s="1"/>
  <c r="I80" i="27"/>
  <c r="Y80" i="27"/>
  <c r="G80" i="27" s="1"/>
  <c r="AL82" i="27"/>
  <c r="AU88" i="9"/>
  <c r="H85" i="28"/>
  <c r="BC85" i="28" s="1"/>
  <c r="AT88" i="9"/>
  <c r="AH88" i="9"/>
  <c r="AI88" i="9" s="1"/>
  <c r="AM80" i="27"/>
  <c r="AN80" i="27" s="1"/>
  <c r="Y245" i="26" l="1"/>
  <c r="AK245" i="26" s="1"/>
  <c r="AG89" i="9" a="1"/>
  <c r="AG89" i="9" s="1"/>
  <c r="AK83" i="27" s="1"/>
  <c r="N245" i="39"/>
  <c r="O245" i="39" s="1"/>
  <c r="L88" i="9" s="1"/>
  <c r="K85" i="28" s="1"/>
  <c r="M85" i="9"/>
  <c r="M82" i="28" s="1"/>
  <c r="I81" i="27"/>
  <c r="Y81" i="27"/>
  <c r="G81" i="27" s="1"/>
  <c r="J87" i="9" s="1"/>
  <c r="AF82" i="27"/>
  <c r="AX82" i="27" s="1"/>
  <c r="AG82" i="27"/>
  <c r="AI82" i="27"/>
  <c r="H86" i="28"/>
  <c r="BC86" i="28" s="1"/>
  <c r="AT89" i="9"/>
  <c r="AH89" i="9"/>
  <c r="AI89" i="9" s="1"/>
  <c r="AU89" i="9"/>
  <c r="AL83" i="27"/>
  <c r="F81" i="27"/>
  <c r="AU81" i="27"/>
  <c r="H246" i="26" a="1"/>
  <c r="H246" i="26" s="1"/>
  <c r="T246" i="26" s="1"/>
  <c r="I246" i="26" a="1"/>
  <c r="I246" i="26" s="1"/>
  <c r="U246" i="26" s="1"/>
  <c r="F246" i="26" a="1"/>
  <c r="F246" i="26" s="1"/>
  <c r="G246" i="26" a="1"/>
  <c r="G246" i="26" s="1"/>
  <c r="J246" i="26" a="1"/>
  <c r="J246" i="26" s="1"/>
  <c r="V246" i="26" s="1"/>
  <c r="M246" i="26" a="1"/>
  <c r="M246" i="26" s="1"/>
  <c r="K246" i="26" a="1"/>
  <c r="K246" i="26" s="1"/>
  <c r="W246" i="26" s="1"/>
  <c r="L246" i="26" a="1"/>
  <c r="L246" i="26" s="1"/>
  <c r="X246" i="26" s="1"/>
  <c r="U86" i="28" a="1"/>
  <c r="U86" i="28" s="1"/>
  <c r="W86" i="28" a="1"/>
  <c r="W86" i="28" s="1"/>
  <c r="Q86" i="28" a="1"/>
  <c r="Q86" i="28" s="1"/>
  <c r="O86" i="28" a="1"/>
  <c r="O86" i="28" s="1"/>
  <c r="S86" i="28" a="1"/>
  <c r="S86" i="28" s="1"/>
  <c r="CC86" i="28"/>
  <c r="H82" i="27"/>
  <c r="W82" i="27"/>
  <c r="T82" i="27"/>
  <c r="AH83" i="27"/>
  <c r="BB83" i="27"/>
  <c r="BF83" i="27" s="1"/>
  <c r="AZ83" i="27"/>
  <c r="BD83" i="27" s="1"/>
  <c r="AD83" i="27"/>
  <c r="AY83" i="27"/>
  <c r="BC83" i="27" s="1"/>
  <c r="AP83" i="27"/>
  <c r="Q83" i="27"/>
  <c r="S83" i="27" s="1"/>
  <c r="V83" i="27"/>
  <c r="D83" i="27"/>
  <c r="Z83" i="27"/>
  <c r="P83" i="27"/>
  <c r="R83" i="27" s="1"/>
  <c r="AW81" i="27"/>
  <c r="AJ90" i="9"/>
  <c r="BK86" i="28"/>
  <c r="BQ86" i="28"/>
  <c r="BG86" i="28"/>
  <c r="BJ86" i="28"/>
  <c r="AN86" i="28"/>
  <c r="BN85" i="28"/>
  <c r="BP86" i="28"/>
  <c r="BH86" i="28"/>
  <c r="BV86" i="28"/>
  <c r="AP86" i="28"/>
  <c r="AJ86" i="28"/>
  <c r="BO86" i="28"/>
  <c r="BS86" i="28"/>
  <c r="AH86" i="28"/>
  <c r="BI86" i="28"/>
  <c r="AS86" i="28"/>
  <c r="BL86" i="28"/>
  <c r="AT86" i="28"/>
  <c r="BF86" i="28"/>
  <c r="BU86" i="28"/>
  <c r="AV86" i="28"/>
  <c r="AL86" i="28"/>
  <c r="AU86" i="28"/>
  <c r="BR86" i="28"/>
  <c r="AK86" i="28"/>
  <c r="AR86" i="28"/>
  <c r="AM86" i="28"/>
  <c r="AI86" i="28"/>
  <c r="BT86" i="28"/>
  <c r="AQ86" i="28"/>
  <c r="BB86" i="28"/>
  <c r="AO80" i="27"/>
  <c r="J246" i="39" a="1"/>
  <c r="J246" i="39" s="1"/>
  <c r="L246" i="39" a="1"/>
  <c r="L246" i="39" s="1"/>
  <c r="H246" i="39" a="1"/>
  <c r="H246" i="39" s="1"/>
  <c r="I246" i="39" a="1"/>
  <c r="I246" i="39" s="1"/>
  <c r="K246" i="39" a="1"/>
  <c r="K246" i="39" s="1"/>
  <c r="M246" i="39" a="1"/>
  <c r="M246" i="39" s="1"/>
  <c r="F246" i="39" a="1"/>
  <c r="F246" i="39" s="1"/>
  <c r="G246" i="39" a="1"/>
  <c r="G246" i="39" s="1"/>
  <c r="AZ84" i="28"/>
  <c r="BA84" i="28"/>
  <c r="AE88" i="9"/>
  <c r="AJ82" i="27" s="1"/>
  <c r="AK82" i="27"/>
  <c r="AW88" i="9"/>
  <c r="AX88" i="9"/>
  <c r="AE82" i="27"/>
  <c r="AC82" i="27" s="1"/>
  <c r="AB82" i="27"/>
  <c r="J86" i="9"/>
  <c r="AR80" i="27"/>
  <c r="AS80" i="27" s="1"/>
  <c r="AT80" i="27" s="1"/>
  <c r="I86" i="9"/>
  <c r="X85" i="28"/>
  <c r="AC85" i="28" s="1"/>
  <c r="AX85" i="28" s="1"/>
  <c r="AA85" i="28"/>
  <c r="AF85" i="28" s="1"/>
  <c r="Y85" i="28"/>
  <c r="AD85" i="28" s="1"/>
  <c r="AY85" i="28" s="1"/>
  <c r="C247" i="39"/>
  <c r="E84" i="27"/>
  <c r="F90" i="9"/>
  <c r="C247" i="26"/>
  <c r="AF90" i="9"/>
  <c r="C91" i="9"/>
  <c r="AD90" i="9"/>
  <c r="G90" i="9" a="1"/>
  <c r="G90" i="9" s="1"/>
  <c r="J87" i="28" s="1"/>
  <c r="K90" i="9"/>
  <c r="AM90" i="9"/>
  <c r="AK91" i="9" s="1"/>
  <c r="AL90" i="9"/>
  <c r="D90" i="9"/>
  <c r="A90" i="9" s="1"/>
  <c r="AA82" i="27"/>
  <c r="Y82" i="27" s="1"/>
  <c r="X82" i="27"/>
  <c r="AV82" i="27" s="1"/>
  <c r="Y246" i="26" l="1"/>
  <c r="AK246" i="26" s="1"/>
  <c r="AE89" i="9"/>
  <c r="AJ83" i="27" s="1"/>
  <c r="AM83" i="27" s="1"/>
  <c r="AN83" i="27" s="1"/>
  <c r="M86" i="9"/>
  <c r="M83" i="28" s="1"/>
  <c r="N246" i="39"/>
  <c r="O246" i="39" s="1"/>
  <c r="L89" i="9" s="1"/>
  <c r="K86" i="28" s="1"/>
  <c r="AW82" i="27"/>
  <c r="AG90" i="9" a="1"/>
  <c r="AG90" i="9" s="1"/>
  <c r="AK84" i="27" s="1"/>
  <c r="AE83" i="27"/>
  <c r="AC83" i="27" s="1"/>
  <c r="AB83" i="27"/>
  <c r="C248" i="39"/>
  <c r="C92" i="9"/>
  <c r="F91" i="9"/>
  <c r="K91" i="9"/>
  <c r="C248" i="26"/>
  <c r="G91" i="9" a="1"/>
  <c r="G91" i="9" s="1"/>
  <c r="J88" i="28" s="1"/>
  <c r="E85" i="27"/>
  <c r="AF91" i="9"/>
  <c r="AD91" i="9"/>
  <c r="AM91" i="9"/>
  <c r="AK92" i="9" s="1"/>
  <c r="D91" i="9"/>
  <c r="A91" i="9" s="1"/>
  <c r="AL91" i="9"/>
  <c r="S87" i="28" a="1"/>
  <c r="S87" i="28" s="1"/>
  <c r="Q87" i="28" a="1"/>
  <c r="Q87" i="28" s="1"/>
  <c r="W87" i="28" a="1"/>
  <c r="W87" i="28" s="1"/>
  <c r="O87" i="28" a="1"/>
  <c r="O87" i="28" s="1"/>
  <c r="U87" i="28" a="1"/>
  <c r="U87" i="28" s="1"/>
  <c r="CC87" i="28"/>
  <c r="K247" i="39" a="1"/>
  <c r="K247" i="39" s="1"/>
  <c r="J247" i="39" a="1"/>
  <c r="J247" i="39" s="1"/>
  <c r="I247" i="39" a="1"/>
  <c r="I247" i="39" s="1"/>
  <c r="H247" i="39" a="1"/>
  <c r="H247" i="39" s="1"/>
  <c r="M247" i="39" a="1"/>
  <c r="M247" i="39" s="1"/>
  <c r="L247" i="39" a="1"/>
  <c r="L247" i="39" s="1"/>
  <c r="F247" i="39" a="1"/>
  <c r="F247" i="39" s="1"/>
  <c r="G247" i="39" a="1"/>
  <c r="G247" i="39" s="1"/>
  <c r="AJ91" i="9"/>
  <c r="I87" i="9"/>
  <c r="AR81" i="27"/>
  <c r="AS81" i="27" s="1"/>
  <c r="AT81" i="27" s="1"/>
  <c r="BA81" i="27"/>
  <c r="BE81" i="27" s="1"/>
  <c r="BG81" i="27" s="1"/>
  <c r="BW84" i="28" s="1"/>
  <c r="BA80" i="27"/>
  <c r="BE80" i="27" s="1"/>
  <c r="BG80" i="27" s="1"/>
  <c r="BW83" i="28" s="1"/>
  <c r="BA85" i="28"/>
  <c r="AZ85" i="28"/>
  <c r="AA86" i="28"/>
  <c r="AF86" i="28" s="1"/>
  <c r="X86" i="28"/>
  <c r="AC86" i="28" s="1"/>
  <c r="AX86" i="28" s="1"/>
  <c r="Y86" i="28"/>
  <c r="AD86" i="28" s="1"/>
  <c r="AY86" i="28" s="1"/>
  <c r="D84" i="27"/>
  <c r="AP84" i="27"/>
  <c r="AD84" i="27"/>
  <c r="Q84" i="27"/>
  <c r="S84" i="27" s="1"/>
  <c r="P84" i="27"/>
  <c r="R84" i="27" s="1"/>
  <c r="AY84" i="27"/>
  <c r="BC84" i="27" s="1"/>
  <c r="AH84" i="27"/>
  <c r="Z84" i="27"/>
  <c r="AZ84" i="27"/>
  <c r="BD84" i="27" s="1"/>
  <c r="V84" i="27"/>
  <c r="BB84" i="27"/>
  <c r="BF84" i="27" s="1"/>
  <c r="AA83" i="27"/>
  <c r="X83" i="27"/>
  <c r="AV83" i="27" s="1"/>
  <c r="AX89" i="9"/>
  <c r="AW89" i="9"/>
  <c r="J247" i="26" a="1"/>
  <c r="J247" i="26" s="1"/>
  <c r="V247" i="26" s="1"/>
  <c r="L247" i="26" a="1"/>
  <c r="L247" i="26" s="1"/>
  <c r="X247" i="26" s="1"/>
  <c r="H247" i="26" a="1"/>
  <c r="H247" i="26" s="1"/>
  <c r="T247" i="26" s="1"/>
  <c r="I247" i="26" a="1"/>
  <c r="I247" i="26" s="1"/>
  <c r="U247" i="26" s="1"/>
  <c r="G247" i="26" a="1"/>
  <c r="G247" i="26" s="1"/>
  <c r="K247" i="26" a="1"/>
  <c r="K247" i="26" s="1"/>
  <c r="W247" i="26" s="1"/>
  <c r="F247" i="26" a="1"/>
  <c r="F247" i="26" s="1"/>
  <c r="M247" i="26" a="1"/>
  <c r="M247" i="26" s="1"/>
  <c r="AG83" i="27"/>
  <c r="AF83" i="27"/>
  <c r="AX83" i="27" s="1"/>
  <c r="AI83" i="27"/>
  <c r="AU82" i="27"/>
  <c r="F82" i="27"/>
  <c r="AM82" i="27"/>
  <c r="AN82" i="27" s="1"/>
  <c r="U82" i="27"/>
  <c r="G82" i="27" s="1"/>
  <c r="J88" i="9" s="1"/>
  <c r="I82" i="27"/>
  <c r="AH90" i="9"/>
  <c r="AI90" i="9" s="1"/>
  <c r="AU90" i="9"/>
  <c r="H87" i="28"/>
  <c r="BC87" i="28" s="1"/>
  <c r="AT90" i="9"/>
  <c r="AL84" i="27"/>
  <c r="AS87" i="28"/>
  <c r="BV87" i="28"/>
  <c r="BO87" i="28"/>
  <c r="BG87" i="28"/>
  <c r="BT87" i="28"/>
  <c r="AP87" i="28"/>
  <c r="AL87" i="28"/>
  <c r="AK87" i="28"/>
  <c r="AN87" i="28"/>
  <c r="BJ87" i="28"/>
  <c r="BH87" i="28"/>
  <c r="BK87" i="28"/>
  <c r="BF87" i="28"/>
  <c r="AR87" i="28"/>
  <c r="AM87" i="28"/>
  <c r="BQ87" i="28"/>
  <c r="BL87" i="28"/>
  <c r="AQ87" i="28"/>
  <c r="AV87" i="28"/>
  <c r="AI87" i="28"/>
  <c r="AJ87" i="28"/>
  <c r="BR87" i="28"/>
  <c r="BB87" i="28"/>
  <c r="AU87" i="28"/>
  <c r="BP87" i="28"/>
  <c r="AH87" i="28"/>
  <c r="BU87" i="28"/>
  <c r="BS87" i="28"/>
  <c r="BN86" i="28"/>
  <c r="BI87" i="28"/>
  <c r="AT87" i="28"/>
  <c r="W83" i="27"/>
  <c r="U83" i="27" s="1"/>
  <c r="H83" i="27"/>
  <c r="T83" i="27"/>
  <c r="AO81" i="27"/>
  <c r="Y247" i="26" l="1"/>
  <c r="AK247" i="26" s="1"/>
  <c r="AE90" i="9"/>
  <c r="AJ84" i="27" s="1"/>
  <c r="AM84" i="27" s="1"/>
  <c r="AN84" i="27" s="1"/>
  <c r="AO82" i="27"/>
  <c r="AG91" i="9" a="1"/>
  <c r="AG91" i="9" s="1"/>
  <c r="AK85" i="27" s="1"/>
  <c r="M87" i="9"/>
  <c r="M84" i="28" s="1"/>
  <c r="N247" i="39"/>
  <c r="O247" i="39" s="1"/>
  <c r="L90" i="9" s="1"/>
  <c r="K87" i="28" s="1"/>
  <c r="AJ92" i="9"/>
  <c r="BU88" i="28"/>
  <c r="AS88" i="28"/>
  <c r="AH88" i="28"/>
  <c r="AJ88" i="28"/>
  <c r="AI88" i="28"/>
  <c r="BO88" i="28"/>
  <c r="AL88" i="28"/>
  <c r="AN88" i="28"/>
  <c r="BI88" i="28"/>
  <c r="BF88" i="28"/>
  <c r="AP88" i="28"/>
  <c r="AK88" i="28"/>
  <c r="BH88" i="28"/>
  <c r="BP88" i="28"/>
  <c r="AM88" i="28"/>
  <c r="AR88" i="28"/>
  <c r="BJ88" i="28"/>
  <c r="AQ88" i="28"/>
  <c r="BV88" i="28"/>
  <c r="AT88" i="28"/>
  <c r="BN87" i="28"/>
  <c r="BG88" i="28"/>
  <c r="BS88" i="28"/>
  <c r="BR88" i="28"/>
  <c r="BK88" i="28"/>
  <c r="BQ88" i="28"/>
  <c r="BT88" i="28"/>
  <c r="BB88" i="28"/>
  <c r="BL88" i="28"/>
  <c r="AV88" i="28"/>
  <c r="AU88" i="28"/>
  <c r="I88" i="9"/>
  <c r="AR82" i="27"/>
  <c r="AS82" i="27" s="1"/>
  <c r="AT82" i="27" s="1"/>
  <c r="AG84" i="27"/>
  <c r="AI84" i="27"/>
  <c r="AF84" i="27"/>
  <c r="AX84" i="27" s="1"/>
  <c r="AW83" i="27"/>
  <c r="AE91" i="9"/>
  <c r="AJ85" i="27" s="1"/>
  <c r="AX90" i="9"/>
  <c r="AW90" i="9"/>
  <c r="L248" i="26" a="1"/>
  <c r="L248" i="26" s="1"/>
  <c r="X248" i="26" s="1"/>
  <c r="I248" i="26" a="1"/>
  <c r="I248" i="26" s="1"/>
  <c r="U248" i="26" s="1"/>
  <c r="F248" i="26" a="1"/>
  <c r="F248" i="26" s="1"/>
  <c r="G248" i="26" a="1"/>
  <c r="G248" i="26" s="1"/>
  <c r="K248" i="26" a="1"/>
  <c r="K248" i="26" s="1"/>
  <c r="W248" i="26" s="1"/>
  <c r="J248" i="26" a="1"/>
  <c r="J248" i="26" s="1"/>
  <c r="V248" i="26" s="1"/>
  <c r="M248" i="26" a="1"/>
  <c r="M248" i="26" s="1"/>
  <c r="H248" i="26" a="1"/>
  <c r="H248" i="26" s="1"/>
  <c r="T248" i="26" s="1"/>
  <c r="X84" i="27"/>
  <c r="AV84" i="27" s="1"/>
  <c r="AA84" i="27"/>
  <c r="J248" i="39" a="1"/>
  <c r="J248" i="39" s="1"/>
  <c r="L248" i="39" a="1"/>
  <c r="L248" i="39" s="1"/>
  <c r="M248" i="39" a="1"/>
  <c r="M248" i="39" s="1"/>
  <c r="I248" i="39" a="1"/>
  <c r="I248" i="39" s="1"/>
  <c r="K248" i="39" a="1"/>
  <c r="K248" i="39" s="1"/>
  <c r="H248" i="39" a="1"/>
  <c r="H248" i="39" s="1"/>
  <c r="F248" i="39" a="1"/>
  <c r="F248" i="39" s="1"/>
  <c r="G248" i="39" a="1"/>
  <c r="G248" i="39" s="1"/>
  <c r="BA86" i="28"/>
  <c r="AZ86" i="28"/>
  <c r="W84" i="27"/>
  <c r="U84" i="27" s="1"/>
  <c r="H84" i="27"/>
  <c r="T84" i="27"/>
  <c r="AA87" i="28"/>
  <c r="AF87" i="28" s="1"/>
  <c r="X87" i="28"/>
  <c r="AC87" i="28" s="1"/>
  <c r="AX87" i="28" s="1"/>
  <c r="Y87" i="28"/>
  <c r="AD87" i="28" s="1"/>
  <c r="AY87" i="28" s="1"/>
  <c r="AE84" i="27"/>
  <c r="AC84" i="27" s="1"/>
  <c r="AB84" i="27"/>
  <c r="AT91" i="9"/>
  <c r="AU91" i="9"/>
  <c r="AL85" i="27"/>
  <c r="H88" i="28"/>
  <c r="BC88" i="28" s="1"/>
  <c r="AH91" i="9"/>
  <c r="AI91" i="9" s="1"/>
  <c r="AH85" i="27"/>
  <c r="V85" i="27"/>
  <c r="AP85" i="27"/>
  <c r="D85" i="27"/>
  <c r="BB85" i="27"/>
  <c r="BF85" i="27" s="1"/>
  <c r="Z85" i="27"/>
  <c r="AZ85" i="27"/>
  <c r="BD85" i="27" s="1"/>
  <c r="AY85" i="27"/>
  <c r="BC85" i="27" s="1"/>
  <c r="AD85" i="27"/>
  <c r="P85" i="27"/>
  <c r="R85" i="27" s="1"/>
  <c r="Q85" i="27"/>
  <c r="S85" i="27" s="1"/>
  <c r="I83" i="27"/>
  <c r="Y83" i="27"/>
  <c r="G83" i="27" s="1"/>
  <c r="J89" i="9" s="1"/>
  <c r="Q88" i="28" a="1"/>
  <c r="Q88" i="28" s="1"/>
  <c r="O88" i="28" a="1"/>
  <c r="O88" i="28" s="1"/>
  <c r="W88" i="28" a="1"/>
  <c r="W88" i="28" s="1"/>
  <c r="S88" i="28" a="1"/>
  <c r="S88" i="28" s="1"/>
  <c r="CC88" i="28"/>
  <c r="U88" i="28" a="1"/>
  <c r="U88" i="28" s="1"/>
  <c r="C249" i="39"/>
  <c r="C249" i="26"/>
  <c r="F92" i="9"/>
  <c r="AF92" i="9"/>
  <c r="K92" i="9"/>
  <c r="E86" i="27"/>
  <c r="AD92" i="9"/>
  <c r="C93" i="9"/>
  <c r="G92" i="9" a="1"/>
  <c r="G92" i="9" s="1"/>
  <c r="J89" i="28" s="1"/>
  <c r="AM92" i="9"/>
  <c r="AK93" i="9" s="1"/>
  <c r="D92" i="9"/>
  <c r="A92" i="9" s="1"/>
  <c r="AL92" i="9"/>
  <c r="F83" i="27"/>
  <c r="AU83" i="27"/>
  <c r="Y248" i="26" l="1"/>
  <c r="AK248" i="26" s="1"/>
  <c r="AM85" i="27"/>
  <c r="AN85" i="27" s="1"/>
  <c r="N248" i="39"/>
  <c r="O248" i="39" s="1"/>
  <c r="L91" i="9" s="1"/>
  <c r="K88" i="28" s="1"/>
  <c r="AG92" i="9" a="1"/>
  <c r="AG92" i="9" s="1"/>
  <c r="AK86" i="27" s="1"/>
  <c r="M88" i="9"/>
  <c r="M85" i="28" s="1"/>
  <c r="AW84" i="27"/>
  <c r="AJ93" i="9"/>
  <c r="I89" i="9"/>
  <c r="AR83" i="27"/>
  <c r="AS83" i="27" s="1"/>
  <c r="AT83" i="27" s="1"/>
  <c r="BQ89" i="28"/>
  <c r="BG89" i="28"/>
  <c r="AN89" i="28"/>
  <c r="BK89" i="28"/>
  <c r="AH89" i="28"/>
  <c r="BJ89" i="28"/>
  <c r="AL89" i="28"/>
  <c r="BS89" i="28"/>
  <c r="BR89" i="28"/>
  <c r="BP89" i="28"/>
  <c r="AT89" i="28"/>
  <c r="AR89" i="28"/>
  <c r="AU89" i="28"/>
  <c r="BL89" i="28"/>
  <c r="BO89" i="28"/>
  <c r="BH89" i="28"/>
  <c r="AK89" i="28"/>
  <c r="BN88" i="28"/>
  <c r="AV89" i="28"/>
  <c r="BT89" i="28"/>
  <c r="AJ89" i="28"/>
  <c r="BI89" i="28"/>
  <c r="BV89" i="28"/>
  <c r="BU89" i="28"/>
  <c r="AM89" i="28"/>
  <c r="AQ89" i="28"/>
  <c r="AI89" i="28"/>
  <c r="BB89" i="28"/>
  <c r="AS89" i="28"/>
  <c r="BF89" i="28"/>
  <c r="AP89" i="28"/>
  <c r="C250" i="39"/>
  <c r="C250" i="26"/>
  <c r="K93" i="9"/>
  <c r="C94" i="9"/>
  <c r="F93" i="9"/>
  <c r="AD93" i="9"/>
  <c r="G93" i="9" a="1"/>
  <c r="G93" i="9" s="1"/>
  <c r="J90" i="28" s="1"/>
  <c r="E87" i="27"/>
  <c r="AF93" i="9"/>
  <c r="AM93" i="9"/>
  <c r="AK94" i="9" s="1"/>
  <c r="D93" i="9"/>
  <c r="A93" i="9" s="1"/>
  <c r="AL93" i="9"/>
  <c r="AX91" i="9"/>
  <c r="AW91" i="9"/>
  <c r="W85" i="27"/>
  <c r="H85" i="27"/>
  <c r="T85" i="27"/>
  <c r="AG85" i="27"/>
  <c r="AI85" i="27"/>
  <c r="AF85" i="27"/>
  <c r="AX85" i="27" s="1"/>
  <c r="AH92" i="9"/>
  <c r="AI92" i="9" s="1"/>
  <c r="H89" i="28"/>
  <c r="BC89" i="28" s="1"/>
  <c r="AT92" i="9"/>
  <c r="AL86" i="27"/>
  <c r="AU92" i="9"/>
  <c r="BA83" i="27"/>
  <c r="BE83" i="27" s="1"/>
  <c r="BG83" i="27" s="1"/>
  <c r="BW86" i="28" s="1"/>
  <c r="BA82" i="27"/>
  <c r="BE82" i="27" s="1"/>
  <c r="BG82" i="27" s="1"/>
  <c r="BW85" i="28" s="1"/>
  <c r="Y88" i="28"/>
  <c r="AD88" i="28" s="1"/>
  <c r="AY88" i="28" s="1"/>
  <c r="X88" i="28"/>
  <c r="AC88" i="28" s="1"/>
  <c r="AX88" i="28" s="1"/>
  <c r="AA88" i="28"/>
  <c r="AF88" i="28" s="1"/>
  <c r="BB86" i="27"/>
  <c r="BF86" i="27" s="1"/>
  <c r="P86" i="27"/>
  <c r="R86" i="27" s="1"/>
  <c r="AH86" i="27"/>
  <c r="Q86" i="27"/>
  <c r="S86" i="27" s="1"/>
  <c r="AZ86" i="27"/>
  <c r="BD86" i="27" s="1"/>
  <c r="AP86" i="27"/>
  <c r="V86" i="27"/>
  <c r="AD86" i="27"/>
  <c r="D86" i="27"/>
  <c r="Z86" i="27"/>
  <c r="AY86" i="27"/>
  <c r="BC86" i="27" s="1"/>
  <c r="CC89" i="28"/>
  <c r="W89" i="28" a="1"/>
  <c r="W89" i="28" s="1"/>
  <c r="O89" i="28" a="1"/>
  <c r="O89" i="28" s="1"/>
  <c r="S89" i="28" a="1"/>
  <c r="S89" i="28" s="1"/>
  <c r="U89" i="28" a="1"/>
  <c r="U89" i="28" s="1"/>
  <c r="Q89" i="28" a="1"/>
  <c r="Q89" i="28" s="1"/>
  <c r="AA85" i="27"/>
  <c r="Y85" i="27" s="1"/>
  <c r="X85" i="27"/>
  <c r="AV85" i="27" s="1"/>
  <c r="AZ87" i="28"/>
  <c r="BA87" i="28"/>
  <c r="F249" i="26" a="1"/>
  <c r="F249" i="26" s="1"/>
  <c r="I249" i="26" a="1"/>
  <c r="I249" i="26" s="1"/>
  <c r="U249" i="26" s="1"/>
  <c r="G249" i="26" a="1"/>
  <c r="G249" i="26" s="1"/>
  <c r="L249" i="26" a="1"/>
  <c r="L249" i="26" s="1"/>
  <c r="X249" i="26" s="1"/>
  <c r="J249" i="26" a="1"/>
  <c r="J249" i="26" s="1"/>
  <c r="V249" i="26" s="1"/>
  <c r="H249" i="26" a="1"/>
  <c r="H249" i="26" s="1"/>
  <c r="T249" i="26" s="1"/>
  <c r="M249" i="26" a="1"/>
  <c r="M249" i="26" s="1"/>
  <c r="K249" i="26" a="1"/>
  <c r="K249" i="26" s="1"/>
  <c r="W249" i="26" s="1"/>
  <c r="AU84" i="27"/>
  <c r="F84" i="27"/>
  <c r="AO84" i="27" s="1"/>
  <c r="AE85" i="27"/>
  <c r="AC85" i="27" s="1"/>
  <c r="AB85" i="27"/>
  <c r="I84" i="27"/>
  <c r="Y84" i="27"/>
  <c r="G84" i="27" s="1"/>
  <c r="J90" i="9" s="1"/>
  <c r="M249" i="39" a="1"/>
  <c r="M249" i="39" s="1"/>
  <c r="L249" i="39" a="1"/>
  <c r="L249" i="39" s="1"/>
  <c r="J249" i="39" a="1"/>
  <c r="J249" i="39" s="1"/>
  <c r="K249" i="39" a="1"/>
  <c r="K249" i="39" s="1"/>
  <c r="H249" i="39" a="1"/>
  <c r="H249" i="39" s="1"/>
  <c r="I249" i="39" a="1"/>
  <c r="I249" i="39" s="1"/>
  <c r="F249" i="39" a="1"/>
  <c r="F249" i="39" s="1"/>
  <c r="G249" i="39" a="1"/>
  <c r="G249" i="39" s="1"/>
  <c r="AO83" i="27"/>
  <c r="Y249" i="26" l="1"/>
  <c r="AK249" i="26" s="1"/>
  <c r="AE92" i="9"/>
  <c r="AJ86" i="27" s="1"/>
  <c r="AM86" i="27" s="1"/>
  <c r="AN86" i="27" s="1"/>
  <c r="AG93" i="9" a="1"/>
  <c r="AG93" i="9" s="1"/>
  <c r="AE93" i="9" s="1"/>
  <c r="AJ87" i="27" s="1"/>
  <c r="N249" i="39"/>
  <c r="O249" i="39" s="1"/>
  <c r="L92" i="9" s="1"/>
  <c r="K89" i="28" s="1"/>
  <c r="M89" i="9"/>
  <c r="M86" i="28" s="1"/>
  <c r="AJ94" i="9"/>
  <c r="AA86" i="27"/>
  <c r="Y86" i="27" s="1"/>
  <c r="X86" i="27"/>
  <c r="AV86" i="27" s="1"/>
  <c r="AM90" i="28"/>
  <c r="AQ90" i="28"/>
  <c r="BU90" i="28"/>
  <c r="BT90" i="28"/>
  <c r="AJ90" i="28"/>
  <c r="BS90" i="28"/>
  <c r="BH90" i="28"/>
  <c r="AK90" i="28"/>
  <c r="AU90" i="28"/>
  <c r="AP90" i="28"/>
  <c r="AN90" i="28"/>
  <c r="BR90" i="28"/>
  <c r="AT90" i="28"/>
  <c r="BV90" i="28"/>
  <c r="BF90" i="28"/>
  <c r="BP90" i="28"/>
  <c r="AH90" i="28"/>
  <c r="BN89" i="28"/>
  <c r="AS90" i="28"/>
  <c r="BI90" i="28"/>
  <c r="BJ90" i="28"/>
  <c r="AV90" i="28"/>
  <c r="BL90" i="28"/>
  <c r="AI90" i="28"/>
  <c r="BO90" i="28"/>
  <c r="BQ90" i="28"/>
  <c r="BG90" i="28"/>
  <c r="AR90" i="28"/>
  <c r="BK90" i="28"/>
  <c r="AL90" i="28"/>
  <c r="BB90" i="28"/>
  <c r="BA88" i="28"/>
  <c r="AZ88" i="28"/>
  <c r="L250" i="39" a="1"/>
  <c r="L250" i="39" s="1"/>
  <c r="J250" i="39" a="1"/>
  <c r="J250" i="39" s="1"/>
  <c r="M250" i="39" a="1"/>
  <c r="M250" i="39" s="1"/>
  <c r="I250" i="39" a="1"/>
  <c r="I250" i="39" s="1"/>
  <c r="H250" i="39" a="1"/>
  <c r="H250" i="39" s="1"/>
  <c r="K250" i="39" a="1"/>
  <c r="K250" i="39" s="1"/>
  <c r="F250" i="39" a="1"/>
  <c r="F250" i="39" s="1"/>
  <c r="G250" i="39" a="1"/>
  <c r="G250" i="39" s="1"/>
  <c r="AX92" i="9"/>
  <c r="AW92" i="9"/>
  <c r="F85" i="27"/>
  <c r="AU85" i="27"/>
  <c r="C251" i="39"/>
  <c r="C251" i="26"/>
  <c r="F94" i="9"/>
  <c r="C95" i="9"/>
  <c r="G94" i="9" a="1"/>
  <c r="G94" i="9" s="1"/>
  <c r="J91" i="28" s="1"/>
  <c r="AF94" i="9"/>
  <c r="AD94" i="9"/>
  <c r="E88" i="27"/>
  <c r="K94" i="9"/>
  <c r="AM94" i="9"/>
  <c r="AK95" i="9" s="1"/>
  <c r="AL94" i="9"/>
  <c r="D94" i="9"/>
  <c r="A94" i="9" s="1"/>
  <c r="AW85" i="27"/>
  <c r="AH93" i="9"/>
  <c r="AI93" i="9" s="1"/>
  <c r="AL87" i="27"/>
  <c r="AT93" i="9"/>
  <c r="AU93" i="9"/>
  <c r="H90" i="28"/>
  <c r="BC90" i="28" s="1"/>
  <c r="AI86" i="27"/>
  <c r="AG86" i="27"/>
  <c r="AF86" i="27"/>
  <c r="AX86" i="27" s="1"/>
  <c r="T86" i="27"/>
  <c r="W86" i="27"/>
  <c r="H86" i="27"/>
  <c r="U85" i="27"/>
  <c r="G85" i="27" s="1"/>
  <c r="J91" i="9" s="1"/>
  <c r="I85" i="27"/>
  <c r="S90" i="28" a="1"/>
  <c r="S90" i="28" s="1"/>
  <c r="W90" i="28" a="1"/>
  <c r="W90" i="28" s="1"/>
  <c r="O90" i="28" a="1"/>
  <c r="O90" i="28" s="1"/>
  <c r="CC90" i="28"/>
  <c r="Q90" i="28" a="1"/>
  <c r="Q90" i="28" s="1"/>
  <c r="U90" i="28" a="1"/>
  <c r="U90" i="28" s="1"/>
  <c r="X89" i="28"/>
  <c r="AC89" i="28" s="1"/>
  <c r="AX89" i="28" s="1"/>
  <c r="AA89" i="28"/>
  <c r="AF89" i="28" s="1"/>
  <c r="Y89" i="28"/>
  <c r="AD89" i="28" s="1"/>
  <c r="AY89" i="28" s="1"/>
  <c r="K250" i="26" a="1"/>
  <c r="K250" i="26" s="1"/>
  <c r="W250" i="26" s="1"/>
  <c r="I250" i="26" a="1"/>
  <c r="I250" i="26" s="1"/>
  <c r="U250" i="26" s="1"/>
  <c r="H250" i="26" a="1"/>
  <c r="H250" i="26" s="1"/>
  <c r="T250" i="26" s="1"/>
  <c r="J250" i="26" a="1"/>
  <c r="J250" i="26" s="1"/>
  <c r="V250" i="26" s="1"/>
  <c r="G250" i="26" a="1"/>
  <c r="G250" i="26" s="1"/>
  <c r="F250" i="26" a="1"/>
  <c r="F250" i="26" s="1"/>
  <c r="M250" i="26" a="1"/>
  <c r="M250" i="26" s="1"/>
  <c r="L250" i="26" a="1"/>
  <c r="L250" i="26" s="1"/>
  <c r="X250" i="26" s="1"/>
  <c r="AE86" i="27"/>
  <c r="AC86" i="27" s="1"/>
  <c r="AB86" i="27"/>
  <c r="I90" i="9"/>
  <c r="AR84" i="27"/>
  <c r="AS84" i="27" s="1"/>
  <c r="AT84" i="27" s="1"/>
  <c r="Z87" i="27"/>
  <c r="AP87" i="27"/>
  <c r="P87" i="27"/>
  <c r="R87" i="27" s="1"/>
  <c r="BB87" i="27"/>
  <c r="BF87" i="27" s="1"/>
  <c r="AH87" i="27"/>
  <c r="D87" i="27"/>
  <c r="AY87" i="27"/>
  <c r="BC87" i="27" s="1"/>
  <c r="V87" i="27"/>
  <c r="Q87" i="27"/>
  <c r="S87" i="27" s="1"/>
  <c r="AZ87" i="27"/>
  <c r="BD87" i="27" s="1"/>
  <c r="AD87" i="27"/>
  <c r="Y250" i="26" l="1"/>
  <c r="AK250" i="26" s="1"/>
  <c r="AK87" i="27"/>
  <c r="AG94" i="9" a="1"/>
  <c r="AG94" i="9" s="1"/>
  <c r="AK88" i="27" s="1"/>
  <c r="AJ95" i="9"/>
  <c r="N250" i="39"/>
  <c r="O250" i="39" s="1"/>
  <c r="L93" i="9" s="1"/>
  <c r="K90" i="28" s="1"/>
  <c r="M90" i="9"/>
  <c r="M87" i="28" s="1"/>
  <c r="AU86" i="27"/>
  <c r="F86" i="27"/>
  <c r="W87" i="27"/>
  <c r="T87" i="27"/>
  <c r="H87" i="27"/>
  <c r="AM87" i="27"/>
  <c r="AN87" i="27" s="1"/>
  <c r="L251" i="26" a="1"/>
  <c r="L251" i="26" s="1"/>
  <c r="X251" i="26" s="1"/>
  <c r="I251" i="26" a="1"/>
  <c r="I251" i="26" s="1"/>
  <c r="U251" i="26" s="1"/>
  <c r="G251" i="26" a="1"/>
  <c r="G251" i="26" s="1"/>
  <c r="J251" i="26" a="1"/>
  <c r="J251" i="26" s="1"/>
  <c r="V251" i="26" s="1"/>
  <c r="H251" i="26" a="1"/>
  <c r="H251" i="26" s="1"/>
  <c r="T251" i="26" s="1"/>
  <c r="F251" i="26" a="1"/>
  <c r="F251" i="26" s="1"/>
  <c r="M251" i="26" a="1"/>
  <c r="M251" i="26" s="1"/>
  <c r="K251" i="26" a="1"/>
  <c r="K251" i="26" s="1"/>
  <c r="W251" i="26" s="1"/>
  <c r="Y90" i="28"/>
  <c r="AD90" i="28" s="1"/>
  <c r="AY90" i="28" s="1"/>
  <c r="X90" i="28"/>
  <c r="AC90" i="28" s="1"/>
  <c r="AX90" i="28" s="1"/>
  <c r="AA90" i="28"/>
  <c r="AF90" i="28" s="1"/>
  <c r="U86" i="27"/>
  <c r="G86" i="27" s="1"/>
  <c r="J92" i="9" s="1"/>
  <c r="I86" i="27"/>
  <c r="I91" i="9"/>
  <c r="AR85" i="27"/>
  <c r="AS85" i="27" s="1"/>
  <c r="AT85" i="27" s="1"/>
  <c r="AF87" i="27"/>
  <c r="AX87" i="27" s="1"/>
  <c r="AG87" i="27"/>
  <c r="AI87" i="27"/>
  <c r="BA84" i="27"/>
  <c r="BE84" i="27" s="1"/>
  <c r="BG84" i="27" s="1"/>
  <c r="BW87" i="28" s="1"/>
  <c r="AZ88" i="27"/>
  <c r="BD88" i="27" s="1"/>
  <c r="D88" i="27"/>
  <c r="AY88" i="27"/>
  <c r="BC88" i="27" s="1"/>
  <c r="AD88" i="27"/>
  <c r="BB88" i="27"/>
  <c r="BF88" i="27" s="1"/>
  <c r="AH88" i="27"/>
  <c r="V88" i="27"/>
  <c r="Z88" i="27"/>
  <c r="AP88" i="27"/>
  <c r="P88" i="27"/>
  <c r="R88" i="27" s="1"/>
  <c r="Q88" i="27"/>
  <c r="S88" i="27" s="1"/>
  <c r="C252" i="39"/>
  <c r="AD95" i="9"/>
  <c r="K95" i="9"/>
  <c r="F95" i="9"/>
  <c r="C252" i="26"/>
  <c r="G95" i="9" a="1"/>
  <c r="G95" i="9" s="1"/>
  <c r="J92" i="28" s="1"/>
  <c r="AF95" i="9"/>
  <c r="C96" i="9"/>
  <c r="E89" i="27"/>
  <c r="AM95" i="9"/>
  <c r="AK96" i="9" s="1"/>
  <c r="AL95" i="9"/>
  <c r="D95" i="9"/>
  <c r="A95" i="9" s="1"/>
  <c r="AU94" i="9"/>
  <c r="AT94" i="9"/>
  <c r="AL88" i="27"/>
  <c r="AH94" i="9"/>
  <c r="AI94" i="9" s="1"/>
  <c r="H91" i="28"/>
  <c r="BC91" i="28" s="1"/>
  <c r="AZ89" i="28"/>
  <c r="BA89" i="28"/>
  <c r="CC91" i="28"/>
  <c r="U91" i="28" a="1"/>
  <c r="U91" i="28" s="1"/>
  <c r="S91" i="28" a="1"/>
  <c r="S91" i="28" s="1"/>
  <c r="O91" i="28" a="1"/>
  <c r="O91" i="28" s="1"/>
  <c r="W91" i="28" a="1"/>
  <c r="W91" i="28" s="1"/>
  <c r="Q91" i="28" a="1"/>
  <c r="Q91" i="28" s="1"/>
  <c r="AO86" i="27"/>
  <c r="AO85" i="27"/>
  <c r="AE87" i="27"/>
  <c r="AC87" i="27" s="1"/>
  <c r="AB87" i="27"/>
  <c r="AW87" i="27" s="1"/>
  <c r="BP91" i="28"/>
  <c r="BJ91" i="28"/>
  <c r="BK91" i="28"/>
  <c r="BU91" i="28"/>
  <c r="BG91" i="28"/>
  <c r="BO91" i="28"/>
  <c r="BF91" i="28"/>
  <c r="BN90" i="28"/>
  <c r="AP91" i="28"/>
  <c r="BS91" i="28"/>
  <c r="AN91" i="28"/>
  <c r="AH91" i="28"/>
  <c r="AM91" i="28"/>
  <c r="BH91" i="28"/>
  <c r="AQ91" i="28"/>
  <c r="AT91" i="28"/>
  <c r="BT91" i="28"/>
  <c r="AR91" i="28"/>
  <c r="AL91" i="28"/>
  <c r="AU91" i="28"/>
  <c r="AI91" i="28"/>
  <c r="AS91" i="28"/>
  <c r="AK91" i="28"/>
  <c r="BQ91" i="28"/>
  <c r="BV91" i="28"/>
  <c r="BL91" i="28"/>
  <c r="AJ91" i="28"/>
  <c r="BI91" i="28"/>
  <c r="AV91" i="28"/>
  <c r="BR91" i="28"/>
  <c r="BB91" i="28"/>
  <c r="AW93" i="9"/>
  <c r="AX93" i="9"/>
  <c r="L251" i="39" a="1"/>
  <c r="L251" i="39" s="1"/>
  <c r="H251" i="39" a="1"/>
  <c r="H251" i="39" s="1"/>
  <c r="J251" i="39" a="1"/>
  <c r="J251" i="39" s="1"/>
  <c r="K251" i="39" a="1"/>
  <c r="K251" i="39" s="1"/>
  <c r="M251" i="39" a="1"/>
  <c r="M251" i="39" s="1"/>
  <c r="I251" i="39" a="1"/>
  <c r="I251" i="39" s="1"/>
  <c r="F251" i="39" a="1"/>
  <c r="F251" i="39" s="1"/>
  <c r="G251" i="39" a="1"/>
  <c r="G251" i="39" s="1"/>
  <c r="X87" i="27"/>
  <c r="AV87" i="27" s="1"/>
  <c r="AA87" i="27"/>
  <c r="Y87" i="27" s="1"/>
  <c r="AW86" i="27"/>
  <c r="Y251" i="26" l="1"/>
  <c r="AK251" i="26" s="1"/>
  <c r="AE94" i="9"/>
  <c r="AJ88" i="27" s="1"/>
  <c r="AM88" i="27" s="1"/>
  <c r="AN88" i="27" s="1"/>
  <c r="N251" i="39"/>
  <c r="O251" i="39" s="1"/>
  <c r="L94" i="9" s="1"/>
  <c r="K91" i="28" s="1"/>
  <c r="M91" i="9"/>
  <c r="M88" i="28" s="1"/>
  <c r="BA86" i="27"/>
  <c r="BE86" i="27" s="1"/>
  <c r="BG86" i="27" s="1"/>
  <c r="BW89" i="28" s="1"/>
  <c r="AA91" i="28"/>
  <c r="AF91" i="28" s="1"/>
  <c r="Y91" i="28"/>
  <c r="AD91" i="28" s="1"/>
  <c r="AY91" i="28" s="1"/>
  <c r="X91" i="28"/>
  <c r="AC91" i="28" s="1"/>
  <c r="AX91" i="28" s="1"/>
  <c r="CC92" i="28"/>
  <c r="Q92" i="28" a="1"/>
  <c r="Q92" i="28" s="1"/>
  <c r="O92" i="28" a="1"/>
  <c r="O92" i="28" s="1"/>
  <c r="W92" i="28" a="1"/>
  <c r="W92" i="28" s="1"/>
  <c r="S92" i="28" a="1"/>
  <c r="S92" i="28" s="1"/>
  <c r="U92" i="28" a="1"/>
  <c r="U92" i="28" s="1"/>
  <c r="BA90" i="28"/>
  <c r="AZ90" i="28"/>
  <c r="AI92" i="28"/>
  <c r="AQ92" i="28"/>
  <c r="AT92" i="28"/>
  <c r="BJ92" i="28"/>
  <c r="BT92" i="28"/>
  <c r="BK92" i="28"/>
  <c r="BF92" i="28"/>
  <c r="AH92" i="28"/>
  <c r="BI92" i="28"/>
  <c r="BH92" i="28"/>
  <c r="BQ92" i="28"/>
  <c r="BS92" i="28"/>
  <c r="BR92" i="28"/>
  <c r="BL92" i="28"/>
  <c r="AV92" i="28"/>
  <c r="BV92" i="28"/>
  <c r="BN91" i="28"/>
  <c r="AS92" i="28"/>
  <c r="AK92" i="28"/>
  <c r="AL92" i="28"/>
  <c r="BU92" i="28"/>
  <c r="AU92" i="28"/>
  <c r="AJ92" i="28"/>
  <c r="AR92" i="28"/>
  <c r="AN92" i="28"/>
  <c r="AM92" i="28"/>
  <c r="BO92" i="28"/>
  <c r="BG92" i="28"/>
  <c r="AP92" i="28"/>
  <c r="BP92" i="28"/>
  <c r="BB92" i="28"/>
  <c r="J252" i="26" a="1"/>
  <c r="J252" i="26" s="1"/>
  <c r="V252" i="26" s="1"/>
  <c r="F252" i="26" a="1"/>
  <c r="F252" i="26" s="1"/>
  <c r="I252" i="26" a="1"/>
  <c r="I252" i="26" s="1"/>
  <c r="U252" i="26" s="1"/>
  <c r="G252" i="26" a="1"/>
  <c r="G252" i="26" s="1"/>
  <c r="K252" i="26" a="1"/>
  <c r="K252" i="26" s="1"/>
  <c r="W252" i="26" s="1"/>
  <c r="L252" i="26" a="1"/>
  <c r="L252" i="26" s="1"/>
  <c r="X252" i="26" s="1"/>
  <c r="M252" i="26" a="1"/>
  <c r="M252" i="26" s="1"/>
  <c r="H252" i="26" a="1"/>
  <c r="H252" i="26" s="1"/>
  <c r="T252" i="26" s="1"/>
  <c r="AU87" i="27"/>
  <c r="F87" i="27"/>
  <c r="AO87" i="27" s="1"/>
  <c r="AG95" i="9" a="1"/>
  <c r="AG95" i="9" s="1"/>
  <c r="U87" i="27"/>
  <c r="G87" i="27" s="1"/>
  <c r="I87" i="27"/>
  <c r="H88" i="27"/>
  <c r="W88" i="27"/>
  <c r="T88" i="27"/>
  <c r="M252" i="39" a="1"/>
  <c r="M252" i="39" s="1"/>
  <c r="K252" i="39" a="1"/>
  <c r="K252" i="39" s="1"/>
  <c r="L252" i="39" a="1"/>
  <c r="L252" i="39" s="1"/>
  <c r="J252" i="39" a="1"/>
  <c r="J252" i="39" s="1"/>
  <c r="I252" i="39" a="1"/>
  <c r="I252" i="39" s="1"/>
  <c r="H252" i="39" a="1"/>
  <c r="H252" i="39" s="1"/>
  <c r="F252" i="39" a="1"/>
  <c r="F252" i="39" s="1"/>
  <c r="G252" i="39" a="1"/>
  <c r="G252" i="39" s="1"/>
  <c r="BA85" i="27"/>
  <c r="BE85" i="27" s="1"/>
  <c r="BG85" i="27" s="1"/>
  <c r="BW88" i="28" s="1"/>
  <c r="C253" i="39"/>
  <c r="F96" i="9"/>
  <c r="G96" i="9" a="1"/>
  <c r="G96" i="9" s="1"/>
  <c r="J93" i="28" s="1"/>
  <c r="E90" i="27"/>
  <c r="C253" i="26"/>
  <c r="C97" i="9"/>
  <c r="AF96" i="9"/>
  <c r="K96" i="9"/>
  <c r="AD96" i="9"/>
  <c r="AM96" i="9"/>
  <c r="AK97" i="9" s="1"/>
  <c r="AL96" i="9"/>
  <c r="D96" i="9"/>
  <c r="A96" i="9" s="1"/>
  <c r="AE88" i="27"/>
  <c r="AC88" i="27" s="1"/>
  <c r="AB88" i="27"/>
  <c r="I92" i="9"/>
  <c r="AR86" i="27"/>
  <c r="AS86" i="27" s="1"/>
  <c r="AT86" i="27" s="1"/>
  <c r="AA88" i="27"/>
  <c r="Y88" i="27" s="1"/>
  <c r="X88" i="27"/>
  <c r="AV88" i="27" s="1"/>
  <c r="AH89" i="27"/>
  <c r="P89" i="27"/>
  <c r="R89" i="27" s="1"/>
  <c r="Q89" i="27"/>
  <c r="S89" i="27" s="1"/>
  <c r="AD89" i="27"/>
  <c r="AP89" i="27"/>
  <c r="AZ89" i="27"/>
  <c r="BD89" i="27" s="1"/>
  <c r="BB89" i="27"/>
  <c r="BF89" i="27" s="1"/>
  <c r="AY89" i="27"/>
  <c r="BC89" i="27" s="1"/>
  <c r="Z89" i="27"/>
  <c r="V89" i="27"/>
  <c r="D89" i="27"/>
  <c r="AI88" i="27"/>
  <c r="AF88" i="27"/>
  <c r="AX88" i="27" s="1"/>
  <c r="AG88" i="27"/>
  <c r="AJ96" i="9"/>
  <c r="AX94" i="9"/>
  <c r="AW94" i="9"/>
  <c r="AU95" i="9"/>
  <c r="H92" i="28"/>
  <c r="BC92" i="28" s="1"/>
  <c r="AL89" i="27"/>
  <c r="AH95" i="9"/>
  <c r="AI95" i="9" s="1"/>
  <c r="AT95" i="9"/>
  <c r="Y252" i="26" l="1"/>
  <c r="AK252" i="26" s="1"/>
  <c r="N252" i="39"/>
  <c r="AG96" i="9" a="1"/>
  <c r="AG96" i="9" s="1"/>
  <c r="AK90" i="27" s="1"/>
  <c r="M92" i="9"/>
  <c r="M89" i="28" s="1"/>
  <c r="O252" i="39"/>
  <c r="L95" i="9" s="1"/>
  <c r="K92" i="28" s="1"/>
  <c r="I93" i="9"/>
  <c r="AR87" i="27"/>
  <c r="AS87" i="27" s="1"/>
  <c r="AT87" i="27" s="1"/>
  <c r="W89" i="27"/>
  <c r="T89" i="27"/>
  <c r="H89" i="27"/>
  <c r="H253" i="26" a="1"/>
  <c r="H253" i="26" s="1"/>
  <c r="T253" i="26" s="1"/>
  <c r="G253" i="26" a="1"/>
  <c r="G253" i="26" s="1"/>
  <c r="L253" i="26" a="1"/>
  <c r="L253" i="26" s="1"/>
  <c r="X253" i="26" s="1"/>
  <c r="I253" i="26" a="1"/>
  <c r="I253" i="26" s="1"/>
  <c r="U253" i="26" s="1"/>
  <c r="F253" i="26" a="1"/>
  <c r="F253" i="26" s="1"/>
  <c r="K253" i="26" a="1"/>
  <c r="K253" i="26" s="1"/>
  <c r="W253" i="26" s="1"/>
  <c r="J253" i="26" a="1"/>
  <c r="J253" i="26" s="1"/>
  <c r="V253" i="26" s="1"/>
  <c r="M253" i="26" a="1"/>
  <c r="M253" i="26" s="1"/>
  <c r="Z90" i="27"/>
  <c r="V90" i="27"/>
  <c r="AZ90" i="27"/>
  <c r="BD90" i="27" s="1"/>
  <c r="D90" i="27"/>
  <c r="AD90" i="27"/>
  <c r="BB90" i="27"/>
  <c r="BF90" i="27" s="1"/>
  <c r="AY90" i="27"/>
  <c r="BC90" i="27" s="1"/>
  <c r="P90" i="27"/>
  <c r="R90" i="27" s="1"/>
  <c r="Q90" i="27"/>
  <c r="S90" i="27" s="1"/>
  <c r="AP90" i="27"/>
  <c r="AH90" i="27"/>
  <c r="AA89" i="27"/>
  <c r="Y89" i="27" s="1"/>
  <c r="X89" i="27"/>
  <c r="AV89" i="27" s="1"/>
  <c r="AW95" i="9"/>
  <c r="AX95" i="9"/>
  <c r="AJ97" i="9"/>
  <c r="M253" i="39" a="1"/>
  <c r="M253" i="39" s="1"/>
  <c r="H253" i="39" a="1"/>
  <c r="H253" i="39" s="1"/>
  <c r="L253" i="39" a="1"/>
  <c r="L253" i="39" s="1"/>
  <c r="K253" i="39" a="1"/>
  <c r="K253" i="39" s="1"/>
  <c r="J253" i="39" a="1"/>
  <c r="J253" i="39" s="1"/>
  <c r="I253" i="39" a="1"/>
  <c r="I253" i="39" s="1"/>
  <c r="F253" i="39" a="1"/>
  <c r="F253" i="39" s="1"/>
  <c r="G253" i="39" a="1"/>
  <c r="G253" i="39" s="1"/>
  <c r="AU96" i="9"/>
  <c r="AT96" i="9"/>
  <c r="H93" i="28"/>
  <c r="BC93" i="28" s="1"/>
  <c r="AL90" i="27"/>
  <c r="AH96" i="9"/>
  <c r="AI96" i="9" s="1"/>
  <c r="BT93" i="28"/>
  <c r="BU93" i="28"/>
  <c r="AN93" i="28"/>
  <c r="AI93" i="28"/>
  <c r="BS93" i="28"/>
  <c r="BP93" i="28"/>
  <c r="BR93" i="28"/>
  <c r="AH93" i="28"/>
  <c r="BO93" i="28"/>
  <c r="BF93" i="28"/>
  <c r="AM93" i="28"/>
  <c r="AQ93" i="28"/>
  <c r="BV93" i="28"/>
  <c r="BI93" i="28"/>
  <c r="AS93" i="28"/>
  <c r="AK93" i="28"/>
  <c r="BN92" i="28"/>
  <c r="BG93" i="28"/>
  <c r="AJ93" i="28"/>
  <c r="BJ93" i="28"/>
  <c r="AP93" i="28"/>
  <c r="BQ93" i="28"/>
  <c r="BK93" i="28"/>
  <c r="AR93" i="28"/>
  <c r="AT93" i="28"/>
  <c r="BL93" i="28"/>
  <c r="AL93" i="28"/>
  <c r="AU93" i="28"/>
  <c r="BH93" i="28"/>
  <c r="AV93" i="28"/>
  <c r="BB93" i="28"/>
  <c r="AU88" i="27"/>
  <c r="F88" i="27"/>
  <c r="I88" i="27"/>
  <c r="U88" i="27"/>
  <c r="G88" i="27" s="1"/>
  <c r="J94" i="9" s="1"/>
  <c r="J93" i="9"/>
  <c r="AZ91" i="28"/>
  <c r="BA91" i="28"/>
  <c r="AE89" i="27"/>
  <c r="AC89" i="27" s="1"/>
  <c r="AB89" i="27"/>
  <c r="C254" i="39"/>
  <c r="E91" i="27"/>
  <c r="G97" i="9" a="1"/>
  <c r="G97" i="9" s="1"/>
  <c r="J94" i="28" s="1"/>
  <c r="C254" i="26"/>
  <c r="AF97" i="9"/>
  <c r="C98" i="9"/>
  <c r="AD97" i="9"/>
  <c r="K97" i="9"/>
  <c r="F97" i="9"/>
  <c r="AM97" i="9"/>
  <c r="AK98" i="9" s="1"/>
  <c r="AL97" i="9"/>
  <c r="D97" i="9"/>
  <c r="A97" i="9" s="1"/>
  <c r="AA92" i="28"/>
  <c r="AF92" i="28" s="1"/>
  <c r="Y92" i="28"/>
  <c r="AD92" i="28" s="1"/>
  <c r="AY92" i="28" s="1"/>
  <c r="X92" i="28"/>
  <c r="AC92" i="28" s="1"/>
  <c r="AX92" i="28" s="1"/>
  <c r="AI89" i="27"/>
  <c r="AG89" i="27"/>
  <c r="AF89" i="27"/>
  <c r="AX89" i="27" s="1"/>
  <c r="CC93" i="28"/>
  <c r="U93" i="28" a="1"/>
  <c r="U93" i="28" s="1"/>
  <c r="Q93" i="28" a="1"/>
  <c r="Q93" i="28" s="1"/>
  <c r="O93" i="28" a="1"/>
  <c r="O93" i="28" s="1"/>
  <c r="W93" i="28" a="1"/>
  <c r="W93" i="28" s="1"/>
  <c r="S93" i="28" a="1"/>
  <c r="S93" i="28" s="1"/>
  <c r="AW88" i="27"/>
  <c r="AE95" i="9"/>
  <c r="AJ89" i="27" s="1"/>
  <c r="AK89" i="27"/>
  <c r="Y253" i="26" l="1"/>
  <c r="AK253" i="26" s="1"/>
  <c r="AE96" i="9"/>
  <c r="AJ90" i="27" s="1"/>
  <c r="AM90" i="27" s="1"/>
  <c r="AN90" i="27" s="1"/>
  <c r="AG97" i="9" a="1"/>
  <c r="AG97" i="9" s="1"/>
  <c r="AE97" i="9" s="1"/>
  <c r="AJ91" i="27" s="1"/>
  <c r="N253" i="39"/>
  <c r="O253" i="39" s="1"/>
  <c r="L96" i="9" s="1"/>
  <c r="K93" i="28" s="1"/>
  <c r="M93" i="9"/>
  <c r="M90" i="28" s="1"/>
  <c r="AJ98" i="9"/>
  <c r="AG90" i="27"/>
  <c r="AI90" i="27"/>
  <c r="AF90" i="27"/>
  <c r="AX90" i="27" s="1"/>
  <c r="C255" i="39"/>
  <c r="C255" i="26"/>
  <c r="AD98" i="9"/>
  <c r="AF98" i="9"/>
  <c r="C99" i="9"/>
  <c r="E92" i="27"/>
  <c r="K98" i="9"/>
  <c r="F98" i="9"/>
  <c r="G98" i="9" a="1"/>
  <c r="G98" i="9" s="1"/>
  <c r="J95" i="28" s="1"/>
  <c r="AM98" i="9"/>
  <c r="AK99" i="9" s="1"/>
  <c r="D98" i="9"/>
  <c r="A98" i="9" s="1"/>
  <c r="AL98" i="9"/>
  <c r="I94" i="9"/>
  <c r="AR88" i="27"/>
  <c r="AS88" i="27" s="1"/>
  <c r="AT88" i="27" s="1"/>
  <c r="AO88" i="27"/>
  <c r="BA92" i="28"/>
  <c r="AZ92" i="28"/>
  <c r="AA90" i="27"/>
  <c r="X90" i="27"/>
  <c r="AV90" i="27" s="1"/>
  <c r="Z91" i="27"/>
  <c r="AP91" i="27"/>
  <c r="AD91" i="27"/>
  <c r="AY91" i="27"/>
  <c r="BC91" i="27" s="1"/>
  <c r="P91" i="27"/>
  <c r="R91" i="27" s="1"/>
  <c r="AZ91" i="27"/>
  <c r="BD91" i="27" s="1"/>
  <c r="BB91" i="27"/>
  <c r="BF91" i="27" s="1"/>
  <c r="D91" i="27"/>
  <c r="V91" i="27"/>
  <c r="AH91" i="27"/>
  <c r="Q91" i="27"/>
  <c r="S91" i="27" s="1"/>
  <c r="AE90" i="27"/>
  <c r="AC90" i="27" s="1"/>
  <c r="AB90" i="27"/>
  <c r="AW90" i="27" s="1"/>
  <c r="AU89" i="27"/>
  <c r="F89" i="27"/>
  <c r="AJ94" i="28"/>
  <c r="BI94" i="28"/>
  <c r="BH94" i="28"/>
  <c r="BG94" i="28"/>
  <c r="BK94" i="28"/>
  <c r="AL94" i="28"/>
  <c r="BV94" i="28"/>
  <c r="AN94" i="28"/>
  <c r="AK94" i="28"/>
  <c r="AQ94" i="28"/>
  <c r="BQ94" i="28"/>
  <c r="AP94" i="28"/>
  <c r="BT94" i="28"/>
  <c r="BS94" i="28"/>
  <c r="AS94" i="28"/>
  <c r="AI94" i="28"/>
  <c r="BU94" i="28"/>
  <c r="BO94" i="28"/>
  <c r="AH94" i="28"/>
  <c r="BP94" i="28"/>
  <c r="BF94" i="28"/>
  <c r="AU94" i="28"/>
  <c r="BJ94" i="28"/>
  <c r="AM94" i="28"/>
  <c r="BR94" i="28"/>
  <c r="AR94" i="28"/>
  <c r="BN93" i="28"/>
  <c r="BL94" i="28"/>
  <c r="AV94" i="28"/>
  <c r="AT94" i="28"/>
  <c r="BB94" i="28"/>
  <c r="H254" i="39" a="1"/>
  <c r="H254" i="39" s="1"/>
  <c r="I254" i="39" a="1"/>
  <c r="I254" i="39" s="1"/>
  <c r="J254" i="39" a="1"/>
  <c r="J254" i="39" s="1"/>
  <c r="M254" i="39" a="1"/>
  <c r="M254" i="39" s="1"/>
  <c r="K254" i="39" a="1"/>
  <c r="K254" i="39" s="1"/>
  <c r="L254" i="39" a="1"/>
  <c r="L254" i="39" s="1"/>
  <c r="F254" i="39" a="1"/>
  <c r="F254" i="39" s="1"/>
  <c r="G254" i="39" a="1"/>
  <c r="G254" i="39" s="1"/>
  <c r="W90" i="27"/>
  <c r="U90" i="27" s="1"/>
  <c r="H90" i="27"/>
  <c r="T90" i="27"/>
  <c r="U89" i="27"/>
  <c r="G89" i="27" s="1"/>
  <c r="J95" i="9" s="1"/>
  <c r="I89" i="27"/>
  <c r="AW89" i="27"/>
  <c r="BA89" i="27" s="1"/>
  <c r="BE89" i="27" s="1"/>
  <c r="BG89" i="27" s="1"/>
  <c r="BW92" i="28" s="1"/>
  <c r="AT97" i="9"/>
  <c r="AL91" i="27"/>
  <c r="AH97" i="9"/>
  <c r="AI97" i="9" s="1"/>
  <c r="H94" i="28"/>
  <c r="BC94" i="28" s="1"/>
  <c r="AU97" i="9"/>
  <c r="AW96" i="9"/>
  <c r="AX96" i="9"/>
  <c r="AM89" i="27"/>
  <c r="AN89" i="27" s="1"/>
  <c r="X93" i="28"/>
  <c r="AC93" i="28" s="1"/>
  <c r="AX93" i="28" s="1"/>
  <c r="Y93" i="28"/>
  <c r="AD93" i="28" s="1"/>
  <c r="AY93" i="28" s="1"/>
  <c r="AA93" i="28"/>
  <c r="AF93" i="28" s="1"/>
  <c r="U94" i="28" a="1"/>
  <c r="U94" i="28" s="1"/>
  <c r="S94" i="28" a="1"/>
  <c r="S94" i="28" s="1"/>
  <c r="CC94" i="28"/>
  <c r="Q94" i="28" a="1"/>
  <c r="Q94" i="28" s="1"/>
  <c r="W94" i="28" a="1"/>
  <c r="W94" i="28" s="1"/>
  <c r="O94" i="28" a="1"/>
  <c r="O94" i="28" s="1"/>
  <c r="BA87" i="27"/>
  <c r="BE87" i="27" s="1"/>
  <c r="BG87" i="27" s="1"/>
  <c r="BW90" i="28" s="1"/>
  <c r="G254" i="26" a="1"/>
  <c r="G254" i="26" s="1"/>
  <c r="K254" i="26" a="1"/>
  <c r="K254" i="26" s="1"/>
  <c r="W254" i="26" s="1"/>
  <c r="J254" i="26" a="1"/>
  <c r="J254" i="26" s="1"/>
  <c r="V254" i="26" s="1"/>
  <c r="F254" i="26" a="1"/>
  <c r="F254" i="26" s="1"/>
  <c r="L254" i="26" a="1"/>
  <c r="L254" i="26" s="1"/>
  <c r="X254" i="26" s="1"/>
  <c r="H254" i="26" a="1"/>
  <c r="H254" i="26" s="1"/>
  <c r="T254" i="26" s="1"/>
  <c r="M254" i="26" a="1"/>
  <c r="M254" i="26" s="1"/>
  <c r="I254" i="26" a="1"/>
  <c r="I254" i="26" s="1"/>
  <c r="U254" i="26" s="1"/>
  <c r="Y254" i="26" l="1"/>
  <c r="AK254" i="26" s="1"/>
  <c r="AJ99" i="9"/>
  <c r="AK91" i="27"/>
  <c r="AM91" i="27" s="1"/>
  <c r="AN91" i="27" s="1"/>
  <c r="M94" i="9"/>
  <c r="M91" i="28" s="1"/>
  <c r="N254" i="39"/>
  <c r="O254" i="39" s="1"/>
  <c r="L97" i="9" s="1"/>
  <c r="K94" i="28" s="1"/>
  <c r="AU90" i="27"/>
  <c r="F90" i="27"/>
  <c r="AG98" i="9" a="1"/>
  <c r="AG98" i="9" s="1"/>
  <c r="I255" i="39" a="1"/>
  <c r="I255" i="39" s="1"/>
  <c r="L255" i="39" a="1"/>
  <c r="L255" i="39" s="1"/>
  <c r="K255" i="39" a="1"/>
  <c r="K255" i="39" s="1"/>
  <c r="M255" i="39" a="1"/>
  <c r="M255" i="39" s="1"/>
  <c r="H255" i="39" a="1"/>
  <c r="H255" i="39" s="1"/>
  <c r="J255" i="39" a="1"/>
  <c r="J255" i="39" s="1"/>
  <c r="F255" i="39" a="1"/>
  <c r="F255" i="39" s="1"/>
  <c r="G255" i="39" a="1"/>
  <c r="G255" i="39" s="1"/>
  <c r="AO89" i="27"/>
  <c r="AG91" i="27"/>
  <c r="AF91" i="27"/>
  <c r="AX91" i="27" s="1"/>
  <c r="AI91" i="27"/>
  <c r="T91" i="27"/>
  <c r="W91" i="27"/>
  <c r="H91" i="27"/>
  <c r="AE91" i="27"/>
  <c r="AC91" i="27" s="1"/>
  <c r="AB91" i="27"/>
  <c r="AA91" i="27"/>
  <c r="Y91" i="27" s="1"/>
  <c r="X91" i="27"/>
  <c r="AV91" i="27" s="1"/>
  <c r="C256" i="39"/>
  <c r="G99" i="9" a="1"/>
  <c r="G99" i="9" s="1"/>
  <c r="J96" i="28" s="1"/>
  <c r="AF99" i="9"/>
  <c r="AD99" i="9"/>
  <c r="C256" i="26"/>
  <c r="C100" i="9"/>
  <c r="E93" i="27"/>
  <c r="K99" i="9"/>
  <c r="F99" i="9"/>
  <c r="AM99" i="9"/>
  <c r="AK100" i="9" s="1"/>
  <c r="AL99" i="9"/>
  <c r="D99" i="9"/>
  <c r="A99" i="9" s="1"/>
  <c r="AR89" i="27"/>
  <c r="AS89" i="27" s="1"/>
  <c r="AT89" i="27" s="1"/>
  <c r="I95" i="9"/>
  <c r="AZ93" i="28"/>
  <c r="BA93" i="28"/>
  <c r="Q95" i="28" a="1"/>
  <c r="Q95" i="28" s="1"/>
  <c r="S95" i="28" a="1"/>
  <c r="S95" i="28" s="1"/>
  <c r="U95" i="28" a="1"/>
  <c r="U95" i="28" s="1"/>
  <c r="O95" i="28" a="1"/>
  <c r="O95" i="28" s="1"/>
  <c r="W95" i="28" a="1"/>
  <c r="W95" i="28" s="1"/>
  <c r="CC95" i="28"/>
  <c r="BA88" i="27"/>
  <c r="BE88" i="27" s="1"/>
  <c r="BG88" i="27" s="1"/>
  <c r="BW91" i="28" s="1"/>
  <c r="AT98" i="9"/>
  <c r="AL92" i="27"/>
  <c r="H95" i="28"/>
  <c r="BC95" i="28" s="1"/>
  <c r="AU98" i="9"/>
  <c r="AH98" i="9"/>
  <c r="AI98" i="9" s="1"/>
  <c r="Y94" i="28"/>
  <c r="AD94" i="28" s="1"/>
  <c r="AY94" i="28" s="1"/>
  <c r="X94" i="28"/>
  <c r="AC94" i="28" s="1"/>
  <c r="AX94" i="28" s="1"/>
  <c r="AA94" i="28"/>
  <c r="AF94" i="28" s="1"/>
  <c r="BB92" i="27"/>
  <c r="BF92" i="27" s="1"/>
  <c r="AZ92" i="27"/>
  <c r="BD92" i="27" s="1"/>
  <c r="AD92" i="27"/>
  <c r="AH92" i="27"/>
  <c r="P92" i="27"/>
  <c r="R92" i="27" s="1"/>
  <c r="Q92" i="27"/>
  <c r="S92" i="27" s="1"/>
  <c r="D92" i="27"/>
  <c r="Z92" i="27"/>
  <c r="V92" i="27"/>
  <c r="AP92" i="27"/>
  <c r="AY92" i="27"/>
  <c r="BC92" i="27" s="1"/>
  <c r="I90" i="27"/>
  <c r="Y90" i="27"/>
  <c r="G90" i="27" s="1"/>
  <c r="J96" i="9" s="1"/>
  <c r="J255" i="26" a="1"/>
  <c r="J255" i="26" s="1"/>
  <c r="V255" i="26" s="1"/>
  <c r="K255" i="26" a="1"/>
  <c r="K255" i="26" s="1"/>
  <c r="W255" i="26" s="1"/>
  <c r="I255" i="26" a="1"/>
  <c r="I255" i="26" s="1"/>
  <c r="U255" i="26" s="1"/>
  <c r="L255" i="26" a="1"/>
  <c r="L255" i="26" s="1"/>
  <c r="X255" i="26" s="1"/>
  <c r="F255" i="26" a="1"/>
  <c r="F255" i="26" s="1"/>
  <c r="G255" i="26" a="1"/>
  <c r="G255" i="26" s="1"/>
  <c r="H255" i="26" a="1"/>
  <c r="H255" i="26" s="1"/>
  <c r="T255" i="26" s="1"/>
  <c r="M255" i="26" a="1"/>
  <c r="M255" i="26" s="1"/>
  <c r="AW97" i="9"/>
  <c r="AX97" i="9"/>
  <c r="BS95" i="28"/>
  <c r="BN94" i="28"/>
  <c r="AR95" i="28"/>
  <c r="AH95" i="28"/>
  <c r="BP95" i="28"/>
  <c r="BV95" i="28"/>
  <c r="BJ95" i="28"/>
  <c r="BK95" i="28"/>
  <c r="BI95" i="28"/>
  <c r="AV95" i="28"/>
  <c r="AP95" i="28"/>
  <c r="BL95" i="28"/>
  <c r="BB95" i="28"/>
  <c r="AN95" i="28"/>
  <c r="BO95" i="28"/>
  <c r="AQ95" i="28"/>
  <c r="AS95" i="28"/>
  <c r="AK95" i="28"/>
  <c r="AU95" i="28"/>
  <c r="AI95" i="28"/>
  <c r="AM95" i="28"/>
  <c r="AT95" i="28"/>
  <c r="BQ95" i="28"/>
  <c r="AJ95" i="28"/>
  <c r="BT95" i="28"/>
  <c r="BR95" i="28"/>
  <c r="BU95" i="28"/>
  <c r="AL95" i="28"/>
  <c r="BG95" i="28"/>
  <c r="BF95" i="28"/>
  <c r="BH95" i="28"/>
  <c r="AJ100" i="9" l="1"/>
  <c r="Y255" i="26"/>
  <c r="AK255" i="26" s="1"/>
  <c r="M95" i="9"/>
  <c r="M92" i="28" s="1"/>
  <c r="N255" i="39"/>
  <c r="O255" i="39" s="1"/>
  <c r="L98" i="9" s="1"/>
  <c r="K95" i="28" s="1"/>
  <c r="AL93" i="27"/>
  <c r="AU99" i="9"/>
  <c r="AH99" i="9"/>
  <c r="AI99" i="9" s="1"/>
  <c r="H96" i="28"/>
  <c r="BC96" i="28" s="1"/>
  <c r="AT99" i="9"/>
  <c r="AE98" i="9"/>
  <c r="AJ92" i="27" s="1"/>
  <c r="AK92" i="27"/>
  <c r="AU91" i="27"/>
  <c r="F91" i="27"/>
  <c r="AR90" i="27"/>
  <c r="AS90" i="27" s="1"/>
  <c r="AT90" i="27" s="1"/>
  <c r="I96" i="9"/>
  <c r="AP93" i="27"/>
  <c r="AD93" i="27"/>
  <c r="AH93" i="27"/>
  <c r="V93" i="27"/>
  <c r="D93" i="27"/>
  <c r="P93" i="27"/>
  <c r="R93" i="27" s="1"/>
  <c r="Z93" i="27"/>
  <c r="AZ93" i="27"/>
  <c r="BD93" i="27" s="1"/>
  <c r="Q93" i="27"/>
  <c r="S93" i="27" s="1"/>
  <c r="BB93" i="27"/>
  <c r="BF93" i="27" s="1"/>
  <c r="AY93" i="27"/>
  <c r="BC93" i="27" s="1"/>
  <c r="AW91" i="27"/>
  <c r="W92" i="27"/>
  <c r="T92" i="27"/>
  <c r="H92" i="27"/>
  <c r="CC96" i="28"/>
  <c r="O96" i="28" a="1"/>
  <c r="O96" i="28" s="1"/>
  <c r="U96" i="28" a="1"/>
  <c r="U96" i="28" s="1"/>
  <c r="W96" i="28" a="1"/>
  <c r="W96" i="28" s="1"/>
  <c r="Q96" i="28" a="1"/>
  <c r="Q96" i="28" s="1"/>
  <c r="S96" i="28" a="1"/>
  <c r="S96" i="28" s="1"/>
  <c r="AH96" i="28"/>
  <c r="BH96" i="28"/>
  <c r="AR96" i="28"/>
  <c r="BR96" i="28"/>
  <c r="BS96" i="28"/>
  <c r="AV96" i="28"/>
  <c r="AQ96" i="28"/>
  <c r="AL96" i="28"/>
  <c r="BT96" i="28"/>
  <c r="BP96" i="28"/>
  <c r="BO96" i="28"/>
  <c r="BL96" i="28"/>
  <c r="BN95" i="28"/>
  <c r="AU96" i="28"/>
  <c r="AT96" i="28"/>
  <c r="AI96" i="28"/>
  <c r="BV96" i="28"/>
  <c r="BJ96" i="28"/>
  <c r="BQ96" i="28"/>
  <c r="AM96" i="28"/>
  <c r="BU96" i="28"/>
  <c r="BI96" i="28"/>
  <c r="AN96" i="28"/>
  <c r="AS96" i="28"/>
  <c r="BB96" i="28"/>
  <c r="AJ96" i="28"/>
  <c r="BG96" i="28"/>
  <c r="AP96" i="28"/>
  <c r="AK96" i="28"/>
  <c r="BF96" i="28"/>
  <c r="BK96" i="28"/>
  <c r="I256" i="39" a="1"/>
  <c r="I256" i="39" s="1"/>
  <c r="J256" i="39" a="1"/>
  <c r="J256" i="39" s="1"/>
  <c r="K256" i="39" a="1"/>
  <c r="K256" i="39" s="1"/>
  <c r="L256" i="39" a="1"/>
  <c r="L256" i="39" s="1"/>
  <c r="M256" i="39" a="1"/>
  <c r="M256" i="39" s="1"/>
  <c r="H256" i="39" a="1"/>
  <c r="H256" i="39" s="1"/>
  <c r="F256" i="39" a="1"/>
  <c r="F256" i="39" s="1"/>
  <c r="G256" i="39" a="1"/>
  <c r="G256" i="39" s="1"/>
  <c r="AA92" i="27"/>
  <c r="Y92" i="27" s="1"/>
  <c r="X92" i="27"/>
  <c r="AV92" i="27" s="1"/>
  <c r="C257" i="39"/>
  <c r="C257" i="26"/>
  <c r="F100" i="9"/>
  <c r="G100" i="9" a="1"/>
  <c r="G100" i="9" s="1"/>
  <c r="J97" i="28" s="1"/>
  <c r="E94" i="27"/>
  <c r="C101" i="9"/>
  <c r="AF100" i="9"/>
  <c r="AD100" i="9"/>
  <c r="K100" i="9"/>
  <c r="AM100" i="9"/>
  <c r="AJ101" i="9" s="1"/>
  <c r="D100" i="9"/>
  <c r="A100" i="9" s="1"/>
  <c r="AL100" i="9"/>
  <c r="AX98" i="9"/>
  <c r="AW98" i="9"/>
  <c r="U91" i="27"/>
  <c r="G91" i="27" s="1"/>
  <c r="J97" i="9" s="1"/>
  <c r="I91" i="27"/>
  <c r="AG92" i="27"/>
  <c r="AF92" i="27"/>
  <c r="AX92" i="27" s="1"/>
  <c r="AI92" i="27"/>
  <c r="AE92" i="27"/>
  <c r="AC92" i="27" s="1"/>
  <c r="AB92" i="27"/>
  <c r="X95" i="28"/>
  <c r="AC95" i="28" s="1"/>
  <c r="AX95" i="28" s="1"/>
  <c r="Y95" i="28"/>
  <c r="AD95" i="28" s="1"/>
  <c r="AY95" i="28" s="1"/>
  <c r="AA95" i="28"/>
  <c r="AF95" i="28" s="1"/>
  <c r="G256" i="26" a="1"/>
  <c r="G256" i="26" s="1"/>
  <c r="K256" i="26" a="1"/>
  <c r="K256" i="26" s="1"/>
  <c r="W256" i="26" s="1"/>
  <c r="I256" i="26" a="1"/>
  <c r="I256" i="26" s="1"/>
  <c r="U256" i="26" s="1"/>
  <c r="F256" i="26" a="1"/>
  <c r="F256" i="26" s="1"/>
  <c r="L256" i="26" a="1"/>
  <c r="L256" i="26" s="1"/>
  <c r="X256" i="26" s="1"/>
  <c r="J256" i="26" a="1"/>
  <c r="J256" i="26" s="1"/>
  <c r="V256" i="26" s="1"/>
  <c r="H256" i="26" a="1"/>
  <c r="H256" i="26" s="1"/>
  <c r="T256" i="26" s="1"/>
  <c r="M256" i="26" a="1"/>
  <c r="M256" i="26" s="1"/>
  <c r="BA94" i="28"/>
  <c r="AZ94" i="28"/>
  <c r="AG99" i="9" a="1"/>
  <c r="AG99" i="9" s="1"/>
  <c r="AO90" i="27"/>
  <c r="Y256" i="26" l="1"/>
  <c r="AK256" i="26" s="1"/>
  <c r="AG100" i="9" a="1"/>
  <c r="AG100" i="9" s="1"/>
  <c r="AK94" i="27" s="1"/>
  <c r="N256" i="39"/>
  <c r="O256" i="39" s="1"/>
  <c r="L99" i="9" s="1"/>
  <c r="K96" i="28" s="1"/>
  <c r="M96" i="9"/>
  <c r="M93" i="28" s="1"/>
  <c r="AW92" i="27"/>
  <c r="BA91" i="27" s="1"/>
  <c r="BE91" i="27" s="1"/>
  <c r="BG91" i="27" s="1"/>
  <c r="BW94" i="28" s="1"/>
  <c r="BA95" i="28"/>
  <c r="AZ95" i="28"/>
  <c r="I92" i="27"/>
  <c r="U92" i="27"/>
  <c r="G92" i="27" s="1"/>
  <c r="BA90" i="27"/>
  <c r="BE90" i="27" s="1"/>
  <c r="BG90" i="27" s="1"/>
  <c r="BW93" i="28" s="1"/>
  <c r="L257" i="39" a="1"/>
  <c r="L257" i="39" s="1"/>
  <c r="M257" i="39" a="1"/>
  <c r="M257" i="39" s="1"/>
  <c r="I257" i="39" a="1"/>
  <c r="I257" i="39" s="1"/>
  <c r="K257" i="39" a="1"/>
  <c r="K257" i="39" s="1"/>
  <c r="H257" i="39" a="1"/>
  <c r="H257" i="39" s="1"/>
  <c r="J257" i="39" a="1"/>
  <c r="J257" i="39" s="1"/>
  <c r="F257" i="39" a="1"/>
  <c r="F257" i="39" s="1"/>
  <c r="G257" i="39" a="1"/>
  <c r="G257" i="39" s="1"/>
  <c r="T93" i="27"/>
  <c r="W93" i="27"/>
  <c r="H93" i="27"/>
  <c r="X93" i="27"/>
  <c r="AV93" i="27" s="1"/>
  <c r="AA93" i="27"/>
  <c r="Y93" i="27" s="1"/>
  <c r="AI93" i="27"/>
  <c r="AG93" i="27"/>
  <c r="AF93" i="27"/>
  <c r="AX93" i="27" s="1"/>
  <c r="X96" i="28"/>
  <c r="AC96" i="28" s="1"/>
  <c r="AX96" i="28" s="1"/>
  <c r="AA96" i="28"/>
  <c r="AF96" i="28" s="1"/>
  <c r="Y96" i="28"/>
  <c r="AD96" i="28" s="1"/>
  <c r="AY96" i="28" s="1"/>
  <c r="AE93" i="27"/>
  <c r="AC93" i="27" s="1"/>
  <c r="AB93" i="27"/>
  <c r="AK101" i="9"/>
  <c r="AP94" i="27"/>
  <c r="BB94" i="27"/>
  <c r="BF94" i="27" s="1"/>
  <c r="AH94" i="27"/>
  <c r="Q94" i="27"/>
  <c r="S94" i="27" s="1"/>
  <c r="Z94" i="27"/>
  <c r="AD94" i="27"/>
  <c r="AY94" i="27"/>
  <c r="BC94" i="27" s="1"/>
  <c r="D94" i="27"/>
  <c r="V94" i="27"/>
  <c r="AZ94" i="27"/>
  <c r="BD94" i="27" s="1"/>
  <c r="P94" i="27"/>
  <c r="R94" i="27" s="1"/>
  <c r="BT97" i="28"/>
  <c r="AN97" i="28"/>
  <c r="AM97" i="28"/>
  <c r="BG97" i="28"/>
  <c r="AP97" i="28"/>
  <c r="BV97" i="28"/>
  <c r="BR97" i="28"/>
  <c r="AJ97" i="28"/>
  <c r="AK97" i="28"/>
  <c r="BS97" i="28"/>
  <c r="BO97" i="28"/>
  <c r="BP97" i="28"/>
  <c r="BN96" i="28"/>
  <c r="AI97" i="28"/>
  <c r="AL97" i="28"/>
  <c r="BB97" i="28"/>
  <c r="AR97" i="28"/>
  <c r="AQ97" i="28"/>
  <c r="AT97" i="28"/>
  <c r="AH97" i="28"/>
  <c r="AU97" i="28"/>
  <c r="BJ97" i="28"/>
  <c r="BL97" i="28"/>
  <c r="BH97" i="28"/>
  <c r="AV97" i="28"/>
  <c r="BF97" i="28"/>
  <c r="BQ97" i="28"/>
  <c r="BU97" i="28"/>
  <c r="AS97" i="28"/>
  <c r="BK97" i="28"/>
  <c r="BI97" i="28"/>
  <c r="I97" i="9"/>
  <c r="AR91" i="27"/>
  <c r="AS91" i="27" s="1"/>
  <c r="AT91" i="27" s="1"/>
  <c r="G257" i="26" a="1"/>
  <c r="G257" i="26" s="1"/>
  <c r="H257" i="26" a="1"/>
  <c r="H257" i="26" s="1"/>
  <c r="T257" i="26" s="1"/>
  <c r="J257" i="26" a="1"/>
  <c r="J257" i="26" s="1"/>
  <c r="V257" i="26" s="1"/>
  <c r="I257" i="26" a="1"/>
  <c r="I257" i="26" s="1"/>
  <c r="U257" i="26" s="1"/>
  <c r="F257" i="26" a="1"/>
  <c r="F257" i="26" s="1"/>
  <c r="L257" i="26" a="1"/>
  <c r="L257" i="26" s="1"/>
  <c r="X257" i="26" s="1"/>
  <c r="M257" i="26" a="1"/>
  <c r="M257" i="26" s="1"/>
  <c r="K257" i="26" a="1"/>
  <c r="K257" i="26" s="1"/>
  <c r="W257" i="26" s="1"/>
  <c r="AK93" i="27"/>
  <c r="AE99" i="9"/>
  <c r="AJ93" i="27" s="1"/>
  <c r="AO91" i="27"/>
  <c r="C258" i="39"/>
  <c r="G101" i="9" a="1"/>
  <c r="G101" i="9" s="1"/>
  <c r="J98" i="28" s="1"/>
  <c r="E95" i="27"/>
  <c r="C102" i="9"/>
  <c r="F101" i="9"/>
  <c r="AF101" i="9"/>
  <c r="AD101" i="9"/>
  <c r="K101" i="9"/>
  <c r="C258" i="26"/>
  <c r="AM101" i="9"/>
  <c r="AJ102" i="9" s="1"/>
  <c r="D101" i="9"/>
  <c r="A101" i="9" s="1"/>
  <c r="AL101" i="9"/>
  <c r="AM92" i="27"/>
  <c r="AN92" i="27" s="1"/>
  <c r="O97" i="28" a="1"/>
  <c r="O97" i="28" s="1"/>
  <c r="U97" i="28" a="1"/>
  <c r="U97" i="28" s="1"/>
  <c r="Q97" i="28" a="1"/>
  <c r="Q97" i="28" s="1"/>
  <c r="W97" i="28" a="1"/>
  <c r="W97" i="28" s="1"/>
  <c r="CC97" i="28"/>
  <c r="S97" i="28" a="1"/>
  <c r="S97" i="28" s="1"/>
  <c r="AW99" i="9"/>
  <c r="AX99" i="9"/>
  <c r="H97" i="28"/>
  <c r="BC97" i="28" s="1"/>
  <c r="AL94" i="27"/>
  <c r="AH100" i="9"/>
  <c r="AI100" i="9" s="1"/>
  <c r="AU100" i="9"/>
  <c r="AT100" i="9"/>
  <c r="AU92" i="27"/>
  <c r="F92" i="27"/>
  <c r="AM93" i="27" l="1"/>
  <c r="AN93" i="27" s="1"/>
  <c r="Y257" i="26"/>
  <c r="AK257" i="26" s="1"/>
  <c r="AE100" i="9"/>
  <c r="AJ94" i="27" s="1"/>
  <c r="AM94" i="27" s="1"/>
  <c r="AN94" i="27" s="1"/>
  <c r="AG101" i="9" a="1"/>
  <c r="AG101" i="9" s="1"/>
  <c r="AK95" i="27" s="1"/>
  <c r="N257" i="39"/>
  <c r="O257" i="39" s="1"/>
  <c r="L100" i="9" s="1"/>
  <c r="K97" i="28" s="1"/>
  <c r="M97" i="9"/>
  <c r="M94" i="28" s="1"/>
  <c r="J98" i="9"/>
  <c r="X94" i="27"/>
  <c r="AV94" i="27" s="1"/>
  <c r="AA94" i="27"/>
  <c r="I98" i="9"/>
  <c r="AR92" i="27"/>
  <c r="AS92" i="27" s="1"/>
  <c r="AT92" i="27" s="1"/>
  <c r="AO92" i="27"/>
  <c r="AI94" i="27"/>
  <c r="AF94" i="27"/>
  <c r="AX94" i="27" s="1"/>
  <c r="AG94" i="27"/>
  <c r="U93" i="27"/>
  <c r="G93" i="27" s="1"/>
  <c r="J99" i="9" s="1"/>
  <c r="I93" i="27"/>
  <c r="BA96" i="28"/>
  <c r="AZ96" i="28"/>
  <c r="C259" i="39"/>
  <c r="E96" i="27"/>
  <c r="F102" i="9"/>
  <c r="G102" i="9" a="1"/>
  <c r="G102" i="9" s="1"/>
  <c r="J99" i="28" s="1"/>
  <c r="C103" i="9"/>
  <c r="C259" i="26"/>
  <c r="AD102" i="9"/>
  <c r="K102" i="9"/>
  <c r="AF102" i="9"/>
  <c r="AM102" i="9"/>
  <c r="AJ103" i="9" s="1"/>
  <c r="D102" i="9"/>
  <c r="A102" i="9" s="1"/>
  <c r="AL102" i="9"/>
  <c r="BB95" i="27"/>
  <c r="BF95" i="27" s="1"/>
  <c r="AP95" i="27"/>
  <c r="V95" i="27"/>
  <c r="AD95" i="27"/>
  <c r="AY95" i="27"/>
  <c r="BC95" i="27" s="1"/>
  <c r="AZ95" i="27"/>
  <c r="BD95" i="27" s="1"/>
  <c r="D95" i="27"/>
  <c r="Z95" i="27"/>
  <c r="Q95" i="27"/>
  <c r="S95" i="27" s="1"/>
  <c r="P95" i="27"/>
  <c r="R95" i="27" s="1"/>
  <c r="AH95" i="27"/>
  <c r="AU93" i="27"/>
  <c r="F93" i="27"/>
  <c r="AO93" i="27" s="1"/>
  <c r="W98" i="28" a="1"/>
  <c r="W98" i="28" s="1"/>
  <c r="O98" i="28" a="1"/>
  <c r="O98" i="28" s="1"/>
  <c r="CC98" i="28"/>
  <c r="Q98" i="28" a="1"/>
  <c r="Q98" i="28" s="1"/>
  <c r="S98" i="28" a="1"/>
  <c r="S98" i="28" s="1"/>
  <c r="U98" i="28" a="1"/>
  <c r="U98" i="28" s="1"/>
  <c r="AT98" i="28"/>
  <c r="BH98" i="28"/>
  <c r="AJ98" i="28"/>
  <c r="AK98" i="28"/>
  <c r="AI98" i="28"/>
  <c r="BL98" i="28"/>
  <c r="BT98" i="28"/>
  <c r="AQ98" i="28"/>
  <c r="AN98" i="28"/>
  <c r="BR98" i="28"/>
  <c r="BP98" i="28"/>
  <c r="AV98" i="28"/>
  <c r="AU98" i="28"/>
  <c r="BV98" i="28"/>
  <c r="BN97" i="28"/>
  <c r="BJ98" i="28"/>
  <c r="BB98" i="28"/>
  <c r="AS98" i="28"/>
  <c r="BG98" i="28"/>
  <c r="AL98" i="28"/>
  <c r="BS98" i="28"/>
  <c r="AM98" i="28"/>
  <c r="BU98" i="28"/>
  <c r="BI98" i="28"/>
  <c r="BO98" i="28"/>
  <c r="BK98" i="28"/>
  <c r="AR98" i="28"/>
  <c r="AH98" i="28"/>
  <c r="BQ98" i="28"/>
  <c r="BF98" i="28"/>
  <c r="AP98" i="28"/>
  <c r="H258" i="39" a="1"/>
  <c r="H258" i="39" s="1"/>
  <c r="L258" i="39" a="1"/>
  <c r="L258" i="39" s="1"/>
  <c r="J258" i="39" a="1"/>
  <c r="J258" i="39" s="1"/>
  <c r="I258" i="39" a="1"/>
  <c r="I258" i="39" s="1"/>
  <c r="K258" i="39" a="1"/>
  <c r="K258" i="39" s="1"/>
  <c r="M258" i="39" a="1"/>
  <c r="M258" i="39" s="1"/>
  <c r="F258" i="39" a="1"/>
  <c r="F258" i="39" s="1"/>
  <c r="G258" i="39" a="1"/>
  <c r="G258" i="39" s="1"/>
  <c r="X97" i="28"/>
  <c r="AC97" i="28" s="1"/>
  <c r="AX97" i="28" s="1"/>
  <c r="AA97" i="28"/>
  <c r="AF97" i="28" s="1"/>
  <c r="Y97" i="28"/>
  <c r="AD97" i="28" s="1"/>
  <c r="AY97" i="28" s="1"/>
  <c r="AU101" i="9"/>
  <c r="H98" i="28"/>
  <c r="BC98" i="28" s="1"/>
  <c r="AT101" i="9"/>
  <c r="AL95" i="27"/>
  <c r="AH101" i="9"/>
  <c r="AI101" i="9" s="1"/>
  <c r="AE94" i="27"/>
  <c r="AC94" i="27" s="1"/>
  <c r="AB94" i="27"/>
  <c r="AX100" i="9"/>
  <c r="AW100" i="9"/>
  <c r="AK102" i="9"/>
  <c r="W94" i="27"/>
  <c r="U94" i="27" s="1"/>
  <c r="H94" i="27"/>
  <c r="T94" i="27"/>
  <c r="L258" i="26" a="1"/>
  <c r="L258" i="26" s="1"/>
  <c r="X258" i="26" s="1"/>
  <c r="H258" i="26" a="1"/>
  <c r="H258" i="26" s="1"/>
  <c r="T258" i="26" s="1"/>
  <c r="I258" i="26" a="1"/>
  <c r="I258" i="26" s="1"/>
  <c r="U258" i="26" s="1"/>
  <c r="J258" i="26" a="1"/>
  <c r="J258" i="26" s="1"/>
  <c r="V258" i="26" s="1"/>
  <c r="F258" i="26" a="1"/>
  <c r="F258" i="26" s="1"/>
  <c r="G258" i="26" a="1"/>
  <c r="G258" i="26" s="1"/>
  <c r="M258" i="26" a="1"/>
  <c r="M258" i="26" s="1"/>
  <c r="K258" i="26" a="1"/>
  <c r="K258" i="26" s="1"/>
  <c r="W258" i="26" s="1"/>
  <c r="AW93" i="27"/>
  <c r="Y258" i="26" l="1"/>
  <c r="AK258" i="26" s="1"/>
  <c r="AE101" i="9"/>
  <c r="AJ95" i="27" s="1"/>
  <c r="AM95" i="27" s="1"/>
  <c r="AN95" i="27" s="1"/>
  <c r="M98" i="9"/>
  <c r="M95" i="28" s="1"/>
  <c r="N258" i="39"/>
  <c r="O258" i="39" s="1"/>
  <c r="L101" i="9" s="1"/>
  <c r="K98" i="28" s="1"/>
  <c r="AW94" i="27"/>
  <c r="BA93" i="27" s="1"/>
  <c r="BE93" i="27" s="1"/>
  <c r="BG93" i="27" s="1"/>
  <c r="BW96" i="28" s="1"/>
  <c r="AK103" i="9"/>
  <c r="AA98" i="28"/>
  <c r="AF98" i="28" s="1"/>
  <c r="Y98" i="28"/>
  <c r="AD98" i="28" s="1"/>
  <c r="AY98" i="28" s="1"/>
  <c r="X98" i="28"/>
  <c r="AC98" i="28" s="1"/>
  <c r="AX98" i="28" s="1"/>
  <c r="AU102" i="9"/>
  <c r="AL96" i="27"/>
  <c r="H99" i="28"/>
  <c r="BC99" i="28" s="1"/>
  <c r="AH102" i="9"/>
  <c r="AI102" i="9" s="1"/>
  <c r="AT102" i="9"/>
  <c r="I99" i="9"/>
  <c r="AR93" i="27"/>
  <c r="AS93" i="27" s="1"/>
  <c r="AT93" i="27" s="1"/>
  <c r="AG102" i="9" a="1"/>
  <c r="AG102" i="9" s="1"/>
  <c r="AA95" i="27"/>
  <c r="X95" i="27"/>
  <c r="AV95" i="27" s="1"/>
  <c r="W99" i="28" a="1"/>
  <c r="W99" i="28" s="1"/>
  <c r="CC99" i="28"/>
  <c r="U99" i="28" a="1"/>
  <c r="U99" i="28" s="1"/>
  <c r="O99" i="28" a="1"/>
  <c r="O99" i="28" s="1"/>
  <c r="S99" i="28" a="1"/>
  <c r="S99" i="28" s="1"/>
  <c r="Q99" i="28" a="1"/>
  <c r="Q99" i="28" s="1"/>
  <c r="V96" i="27"/>
  <c r="D96" i="27"/>
  <c r="AY96" i="27"/>
  <c r="BC96" i="27" s="1"/>
  <c r="Q96" i="27"/>
  <c r="S96" i="27" s="1"/>
  <c r="AH96" i="27"/>
  <c r="Z96" i="27"/>
  <c r="AD96" i="27"/>
  <c r="P96" i="27"/>
  <c r="R96" i="27" s="1"/>
  <c r="BB96" i="27"/>
  <c r="BF96" i="27" s="1"/>
  <c r="AP96" i="27"/>
  <c r="AZ96" i="27"/>
  <c r="BD96" i="27" s="1"/>
  <c r="BA97" i="28"/>
  <c r="AZ97" i="28"/>
  <c r="AI95" i="27"/>
  <c r="AF95" i="27"/>
  <c r="AX95" i="27" s="1"/>
  <c r="AG95" i="27"/>
  <c r="K259" i="26" a="1"/>
  <c r="K259" i="26" s="1"/>
  <c r="W259" i="26" s="1"/>
  <c r="J259" i="26" a="1"/>
  <c r="J259" i="26" s="1"/>
  <c r="V259" i="26" s="1"/>
  <c r="G259" i="26" a="1"/>
  <c r="G259" i="26" s="1"/>
  <c r="H259" i="26" a="1"/>
  <c r="H259" i="26" s="1"/>
  <c r="T259" i="26" s="1"/>
  <c r="L259" i="26" a="1"/>
  <c r="L259" i="26" s="1"/>
  <c r="X259" i="26" s="1"/>
  <c r="F259" i="26" a="1"/>
  <c r="F259" i="26" s="1"/>
  <c r="M259" i="26" a="1"/>
  <c r="M259" i="26" s="1"/>
  <c r="I259" i="26" a="1"/>
  <c r="I259" i="26" s="1"/>
  <c r="U259" i="26" s="1"/>
  <c r="BS99" i="28"/>
  <c r="BU99" i="28"/>
  <c r="BV99" i="28"/>
  <c r="AV99" i="28"/>
  <c r="AL99" i="28"/>
  <c r="BN98" i="28"/>
  <c r="BK99" i="28"/>
  <c r="BF99" i="28"/>
  <c r="AI99" i="28"/>
  <c r="AS99" i="28"/>
  <c r="BL99" i="28"/>
  <c r="BP99" i="28"/>
  <c r="BQ99" i="28"/>
  <c r="AU99" i="28"/>
  <c r="BH99" i="28"/>
  <c r="BR99" i="28"/>
  <c r="BJ99" i="28"/>
  <c r="AJ99" i="28"/>
  <c r="AR99" i="28"/>
  <c r="AN99" i="28"/>
  <c r="BO99" i="28"/>
  <c r="AH99" i="28"/>
  <c r="BT99" i="28"/>
  <c r="BB99" i="28"/>
  <c r="AQ99" i="28"/>
  <c r="AK99" i="28"/>
  <c r="BG99" i="28"/>
  <c r="AT99" i="28"/>
  <c r="AM99" i="28"/>
  <c r="AP99" i="28"/>
  <c r="BI99" i="28"/>
  <c r="AE95" i="27"/>
  <c r="AC95" i="27" s="1"/>
  <c r="AB95" i="27"/>
  <c r="M259" i="39" a="1"/>
  <c r="M259" i="39" s="1"/>
  <c r="I259" i="39" a="1"/>
  <c r="I259" i="39" s="1"/>
  <c r="L259" i="39" a="1"/>
  <c r="L259" i="39" s="1"/>
  <c r="H259" i="39" a="1"/>
  <c r="H259" i="39" s="1"/>
  <c r="K259" i="39" a="1"/>
  <c r="K259" i="39" s="1"/>
  <c r="J259" i="39" a="1"/>
  <c r="J259" i="39" s="1"/>
  <c r="F259" i="39" a="1"/>
  <c r="F259" i="39" s="1"/>
  <c r="G259" i="39" a="1"/>
  <c r="G259" i="39" s="1"/>
  <c r="C260" i="39"/>
  <c r="C260" i="26"/>
  <c r="C104" i="9"/>
  <c r="AF103" i="9"/>
  <c r="E97" i="27"/>
  <c r="AD103" i="9"/>
  <c r="G103" i="9" a="1"/>
  <c r="G103" i="9" s="1"/>
  <c r="J100" i="28" s="1"/>
  <c r="F103" i="9"/>
  <c r="K103" i="9"/>
  <c r="AM103" i="9"/>
  <c r="AJ104" i="9" s="1"/>
  <c r="AL103" i="9"/>
  <c r="D103" i="9"/>
  <c r="A103" i="9" s="1"/>
  <c r="I94" i="27"/>
  <c r="Y94" i="27"/>
  <c r="G94" i="27" s="1"/>
  <c r="J100" i="9" s="1"/>
  <c r="BA92" i="27"/>
  <c r="BE92" i="27" s="1"/>
  <c r="BG92" i="27" s="1"/>
  <c r="BW95" i="28" s="1"/>
  <c r="AU94" i="27"/>
  <c r="F94" i="27"/>
  <c r="AO94" i="27" s="1"/>
  <c r="AX101" i="9"/>
  <c r="AW101" i="9"/>
  <c r="T95" i="27"/>
  <c r="W95" i="27"/>
  <c r="U95" i="27" s="1"/>
  <c r="H95" i="27"/>
  <c r="AG103" i="9" l="1" a="1"/>
  <c r="AG103" i="9" s="1"/>
  <c r="AE103" i="9" s="1"/>
  <c r="AJ97" i="27" s="1"/>
  <c r="Y259" i="26"/>
  <c r="AK259" i="26" s="1"/>
  <c r="N259" i="39"/>
  <c r="O259" i="39" s="1"/>
  <c r="L102" i="9" s="1"/>
  <c r="K99" i="28" s="1"/>
  <c r="M99" i="9"/>
  <c r="M96" i="28" s="1"/>
  <c r="F95" i="27"/>
  <c r="AU95" i="27"/>
  <c r="I95" i="27"/>
  <c r="Y95" i="27"/>
  <c r="G95" i="27" s="1"/>
  <c r="J101" i="9" s="1"/>
  <c r="AK97" i="27"/>
  <c r="AE102" i="9"/>
  <c r="AJ96" i="27" s="1"/>
  <c r="AK96" i="27"/>
  <c r="AH97" i="27"/>
  <c r="P97" i="27"/>
  <c r="R97" i="27" s="1"/>
  <c r="AZ97" i="27"/>
  <c r="BD97" i="27" s="1"/>
  <c r="AY97" i="27"/>
  <c r="BC97" i="27" s="1"/>
  <c r="Q97" i="27"/>
  <c r="S97" i="27" s="1"/>
  <c r="AP97" i="27"/>
  <c r="Z97" i="27"/>
  <c r="D97" i="27"/>
  <c r="BB97" i="27"/>
  <c r="BF97" i="27" s="1"/>
  <c r="V97" i="27"/>
  <c r="AD97" i="27"/>
  <c r="I100" i="9"/>
  <c r="AR94" i="27"/>
  <c r="AS94" i="27" s="1"/>
  <c r="AT94" i="27" s="1"/>
  <c r="C261" i="39"/>
  <c r="C105" i="9"/>
  <c r="AD104" i="9"/>
  <c r="E98" i="27"/>
  <c r="C261" i="26"/>
  <c r="K104" i="9"/>
  <c r="G104" i="9" a="1"/>
  <c r="G104" i="9" s="1"/>
  <c r="J101" i="28" s="1"/>
  <c r="AF104" i="9"/>
  <c r="F104" i="9"/>
  <c r="AM104" i="9"/>
  <c r="AJ105" i="9" s="1"/>
  <c r="D104" i="9"/>
  <c r="A104" i="9" s="1"/>
  <c r="AL104" i="9"/>
  <c r="W96" i="27"/>
  <c r="U96" i="27" s="1"/>
  <c r="T96" i="27"/>
  <c r="H96" i="27"/>
  <c r="AK104" i="9"/>
  <c r="AI100" i="28"/>
  <c r="BB100" i="28"/>
  <c r="AM100" i="28"/>
  <c r="BO100" i="28"/>
  <c r="AU100" i="28"/>
  <c r="BF100" i="28"/>
  <c r="BG100" i="28"/>
  <c r="BV100" i="28"/>
  <c r="AS100" i="28"/>
  <c r="BS100" i="28"/>
  <c r="BR100" i="28"/>
  <c r="BT100" i="28"/>
  <c r="BP100" i="28"/>
  <c r="AQ100" i="28"/>
  <c r="AH100" i="28"/>
  <c r="AN100" i="28"/>
  <c r="BH100" i="28"/>
  <c r="BQ100" i="28"/>
  <c r="AP100" i="28"/>
  <c r="AL100" i="28"/>
  <c r="AJ100" i="28"/>
  <c r="BL100" i="28"/>
  <c r="AV100" i="28"/>
  <c r="AR100" i="28"/>
  <c r="BU100" i="28"/>
  <c r="BI100" i="28"/>
  <c r="BN99" i="28"/>
  <c r="BK100" i="28"/>
  <c r="AK100" i="28"/>
  <c r="BJ100" i="28"/>
  <c r="AT100" i="28"/>
  <c r="BA98" i="28"/>
  <c r="AZ98" i="28"/>
  <c r="AX102" i="9"/>
  <c r="AW102" i="9"/>
  <c r="AH103" i="9"/>
  <c r="AI103" i="9" s="1"/>
  <c r="H100" i="28"/>
  <c r="BC100" i="28" s="1"/>
  <c r="AU103" i="9"/>
  <c r="AL97" i="27"/>
  <c r="AT103" i="9"/>
  <c r="AA99" i="28"/>
  <c r="AF99" i="28" s="1"/>
  <c r="X99" i="28"/>
  <c r="AC99" i="28" s="1"/>
  <c r="AX99" i="28" s="1"/>
  <c r="Y99" i="28"/>
  <c r="AD99" i="28" s="1"/>
  <c r="AY99" i="28" s="1"/>
  <c r="AF96" i="27"/>
  <c r="AX96" i="27" s="1"/>
  <c r="AG96" i="27"/>
  <c r="AI96" i="27"/>
  <c r="L260" i="26" a="1"/>
  <c r="L260" i="26" s="1"/>
  <c r="X260" i="26" s="1"/>
  <c r="F260" i="26" a="1"/>
  <c r="F260" i="26" s="1"/>
  <c r="G260" i="26" a="1"/>
  <c r="G260" i="26" s="1"/>
  <c r="K260" i="26" a="1"/>
  <c r="K260" i="26" s="1"/>
  <c r="W260" i="26" s="1"/>
  <c r="J260" i="26" a="1"/>
  <c r="J260" i="26" s="1"/>
  <c r="V260" i="26" s="1"/>
  <c r="H260" i="26" a="1"/>
  <c r="H260" i="26" s="1"/>
  <c r="T260" i="26" s="1"/>
  <c r="M260" i="26" a="1"/>
  <c r="M260" i="26" s="1"/>
  <c r="I260" i="26" a="1"/>
  <c r="I260" i="26" s="1"/>
  <c r="U260" i="26" s="1"/>
  <c r="AE96" i="27"/>
  <c r="AC96" i="27" s="1"/>
  <c r="AB96" i="27"/>
  <c r="AW96" i="27" s="1"/>
  <c r="AO95" i="27"/>
  <c r="I260" i="39" a="1"/>
  <c r="I260" i="39" s="1"/>
  <c r="J260" i="39" a="1"/>
  <c r="J260" i="39" s="1"/>
  <c r="L260" i="39" a="1"/>
  <c r="L260" i="39" s="1"/>
  <c r="M260" i="39" a="1"/>
  <c r="M260" i="39" s="1"/>
  <c r="K260" i="39" a="1"/>
  <c r="K260" i="39" s="1"/>
  <c r="H260" i="39" a="1"/>
  <c r="H260" i="39" s="1"/>
  <c r="F260" i="39" a="1"/>
  <c r="F260" i="39" s="1"/>
  <c r="G260" i="39" a="1"/>
  <c r="G260" i="39" s="1"/>
  <c r="Q100" i="28" a="1"/>
  <c r="Q100" i="28" s="1"/>
  <c r="U100" i="28" a="1"/>
  <c r="U100" i="28" s="1"/>
  <c r="O100" i="28" a="1"/>
  <c r="O100" i="28" s="1"/>
  <c r="W100" i="28" a="1"/>
  <c r="W100" i="28" s="1"/>
  <c r="S100" i="28" a="1"/>
  <c r="S100" i="28" s="1"/>
  <c r="CC100" i="28"/>
  <c r="AW95" i="27"/>
  <c r="AA96" i="27"/>
  <c r="X96" i="27"/>
  <c r="AV96" i="27" s="1"/>
  <c r="Y260" i="26" l="1"/>
  <c r="AK260" i="26" s="1"/>
  <c r="M100" i="9"/>
  <c r="M97" i="28" s="1"/>
  <c r="N260" i="39"/>
  <c r="O260" i="39" s="1"/>
  <c r="L103" i="9" s="1"/>
  <c r="K100" i="28" s="1"/>
  <c r="AK105" i="9"/>
  <c r="AA100" i="28"/>
  <c r="AF100" i="28" s="1"/>
  <c r="Y100" i="28"/>
  <c r="AD100" i="28" s="1"/>
  <c r="AY100" i="28" s="1"/>
  <c r="X100" i="28"/>
  <c r="AC100" i="28" s="1"/>
  <c r="AX100" i="28" s="1"/>
  <c r="F261" i="26" a="1"/>
  <c r="F261" i="26" s="1"/>
  <c r="K261" i="26" a="1"/>
  <c r="K261" i="26" s="1"/>
  <c r="W261" i="26" s="1"/>
  <c r="L261" i="26" a="1"/>
  <c r="L261" i="26" s="1"/>
  <c r="X261" i="26" s="1"/>
  <c r="G261" i="26" a="1"/>
  <c r="G261" i="26" s="1"/>
  <c r="M261" i="26" a="1"/>
  <c r="M261" i="26" s="1"/>
  <c r="H261" i="26" a="1"/>
  <c r="H261" i="26" s="1"/>
  <c r="T261" i="26" s="1"/>
  <c r="I261" i="26" a="1"/>
  <c r="I261" i="26" s="1"/>
  <c r="U261" i="26" s="1"/>
  <c r="J261" i="26" a="1"/>
  <c r="J261" i="26" s="1"/>
  <c r="V261" i="26" s="1"/>
  <c r="P98" i="27"/>
  <c r="R98" i="27" s="1"/>
  <c r="D98" i="27"/>
  <c r="Q98" i="27"/>
  <c r="S98" i="27" s="1"/>
  <c r="AP98" i="27"/>
  <c r="AD98" i="27"/>
  <c r="Z98" i="27"/>
  <c r="BB98" i="27"/>
  <c r="BF98" i="27" s="1"/>
  <c r="AH98" i="27"/>
  <c r="AZ98" i="27"/>
  <c r="BD98" i="27" s="1"/>
  <c r="V98" i="27"/>
  <c r="AY98" i="27"/>
  <c r="BC98" i="27" s="1"/>
  <c r="AX103" i="9"/>
  <c r="AW103" i="9"/>
  <c r="AU104" i="9"/>
  <c r="AT104" i="9"/>
  <c r="H101" i="28"/>
  <c r="BC101" i="28" s="1"/>
  <c r="AH104" i="9"/>
  <c r="AI104" i="9" s="1"/>
  <c r="AL98" i="27"/>
  <c r="H97" i="27"/>
  <c r="W97" i="27"/>
  <c r="T97" i="27"/>
  <c r="I101" i="9"/>
  <c r="AR95" i="27"/>
  <c r="AS95" i="27" s="1"/>
  <c r="AT95" i="27" s="1"/>
  <c r="AG104" i="9" a="1"/>
  <c r="AG104" i="9" s="1"/>
  <c r="AM96" i="27"/>
  <c r="AN96" i="27" s="1"/>
  <c r="AU96" i="27"/>
  <c r="F96" i="27"/>
  <c r="AE97" i="27"/>
  <c r="AC97" i="27" s="1"/>
  <c r="AB97" i="27"/>
  <c r="I96" i="27"/>
  <c r="Y96" i="27"/>
  <c r="G96" i="27" s="1"/>
  <c r="J102" i="9" s="1"/>
  <c r="AN101" i="28"/>
  <c r="AJ101" i="28"/>
  <c r="BN100" i="28"/>
  <c r="BH101" i="28"/>
  <c r="BF101" i="28"/>
  <c r="BQ101" i="28"/>
  <c r="AI101" i="28"/>
  <c r="BG101" i="28"/>
  <c r="BS101" i="28"/>
  <c r="AH101" i="28"/>
  <c r="BI101" i="28"/>
  <c r="AL101" i="28"/>
  <c r="BK101" i="28"/>
  <c r="AQ101" i="28"/>
  <c r="BU101" i="28"/>
  <c r="AT101" i="28"/>
  <c r="AR101" i="28"/>
  <c r="AS101" i="28"/>
  <c r="BV101" i="28"/>
  <c r="AM101" i="28"/>
  <c r="BO101" i="28"/>
  <c r="AK101" i="28"/>
  <c r="BB101" i="28"/>
  <c r="BJ101" i="28"/>
  <c r="AU101" i="28"/>
  <c r="AP101" i="28"/>
  <c r="BR101" i="28"/>
  <c r="BP101" i="28"/>
  <c r="BL101" i="28"/>
  <c r="AV101" i="28"/>
  <c r="BT101" i="28"/>
  <c r="AI97" i="27"/>
  <c r="AG97" i="27"/>
  <c r="AF97" i="27"/>
  <c r="AX97" i="27" s="1"/>
  <c r="C262" i="39"/>
  <c r="C262" i="26"/>
  <c r="G105" i="9" a="1"/>
  <c r="G105" i="9" s="1"/>
  <c r="J102" i="28" s="1"/>
  <c r="E99" i="27"/>
  <c r="C106" i="9"/>
  <c r="K105" i="9"/>
  <c r="F105" i="9"/>
  <c r="AF105" i="9"/>
  <c r="AD105" i="9"/>
  <c r="AM105" i="9"/>
  <c r="AJ106" i="9" s="1"/>
  <c r="D105" i="9"/>
  <c r="A105" i="9" s="1"/>
  <c r="AL105" i="9"/>
  <c r="H261" i="39" a="1"/>
  <c r="H261" i="39" s="1"/>
  <c r="L261" i="39" a="1"/>
  <c r="L261" i="39" s="1"/>
  <c r="I261" i="39" a="1"/>
  <c r="I261" i="39" s="1"/>
  <c r="M261" i="39" a="1"/>
  <c r="M261" i="39" s="1"/>
  <c r="K261" i="39" a="1"/>
  <c r="K261" i="39" s="1"/>
  <c r="J261" i="39" a="1"/>
  <c r="J261" i="39" s="1"/>
  <c r="F261" i="39" a="1"/>
  <c r="F261" i="39" s="1"/>
  <c r="G261" i="39" a="1"/>
  <c r="G261" i="39" s="1"/>
  <c r="AZ99" i="28"/>
  <c r="BA99" i="28"/>
  <c r="AM97" i="27"/>
  <c r="AN97" i="27" s="1"/>
  <c r="BA95" i="27"/>
  <c r="BE95" i="27" s="1"/>
  <c r="BG95" i="27" s="1"/>
  <c r="BW98" i="28" s="1"/>
  <c r="BA94" i="27"/>
  <c r="BE94" i="27" s="1"/>
  <c r="BG94" i="27" s="1"/>
  <c r="BW97" i="28" s="1"/>
  <c r="S101" i="28" a="1"/>
  <c r="S101" i="28" s="1"/>
  <c r="W101" i="28" a="1"/>
  <c r="W101" i="28" s="1"/>
  <c r="U101" i="28" a="1"/>
  <c r="U101" i="28" s="1"/>
  <c r="CC101" i="28"/>
  <c r="Q101" i="28" a="1"/>
  <c r="Q101" i="28" s="1"/>
  <c r="O101" i="28" a="1"/>
  <c r="O101" i="28" s="1"/>
  <c r="AA97" i="27"/>
  <c r="Y97" i="27" s="1"/>
  <c r="X97" i="27"/>
  <c r="AV97" i="27" s="1"/>
  <c r="Y261" i="26" l="1"/>
  <c r="AK261" i="26" s="1"/>
  <c r="AK106" i="9"/>
  <c r="N261" i="39"/>
  <c r="O261" i="39" s="1"/>
  <c r="L104" i="9" s="1"/>
  <c r="K101" i="28" s="1"/>
  <c r="M101" i="9"/>
  <c r="M98" i="28" s="1"/>
  <c r="AG105" i="9" a="1"/>
  <c r="AG105" i="9" s="1"/>
  <c r="AE105" i="9" s="1"/>
  <c r="AJ99" i="27" s="1"/>
  <c r="AI98" i="27"/>
  <c r="AG98" i="27"/>
  <c r="AF98" i="27"/>
  <c r="AX98" i="27" s="1"/>
  <c r="X101" i="28"/>
  <c r="AC101" i="28" s="1"/>
  <c r="AX101" i="28" s="1"/>
  <c r="AA101" i="28"/>
  <c r="AF101" i="28" s="1"/>
  <c r="Y101" i="28"/>
  <c r="AD101" i="28" s="1"/>
  <c r="AY101" i="28" s="1"/>
  <c r="T98" i="27"/>
  <c r="H98" i="27"/>
  <c r="W98" i="27"/>
  <c r="U98" i="27" s="1"/>
  <c r="C263" i="39"/>
  <c r="G106" i="9" a="1"/>
  <c r="G106" i="9" s="1"/>
  <c r="J103" i="28" s="1"/>
  <c r="C107" i="9"/>
  <c r="AF106" i="9"/>
  <c r="C263" i="26"/>
  <c r="E100" i="27"/>
  <c r="F106" i="9"/>
  <c r="AD106" i="9"/>
  <c r="K106" i="9"/>
  <c r="AM106" i="9"/>
  <c r="AJ107" i="9" s="1"/>
  <c r="AL106" i="9"/>
  <c r="D106" i="9"/>
  <c r="A106" i="9" s="1"/>
  <c r="I102" i="9"/>
  <c r="AR96" i="27"/>
  <c r="AS96" i="27" s="1"/>
  <c r="AT96" i="27" s="1"/>
  <c r="K262" i="39" a="1"/>
  <c r="K262" i="39" s="1"/>
  <c r="J262" i="39" a="1"/>
  <c r="J262" i="39" s="1"/>
  <c r="I262" i="39" a="1"/>
  <c r="I262" i="39" s="1"/>
  <c r="L262" i="39" a="1"/>
  <c r="L262" i="39" s="1"/>
  <c r="M262" i="39" a="1"/>
  <c r="M262" i="39" s="1"/>
  <c r="H262" i="39" a="1"/>
  <c r="H262" i="39" s="1"/>
  <c r="F262" i="39" a="1"/>
  <c r="F262" i="39" s="1"/>
  <c r="G262" i="39" a="1"/>
  <c r="G262" i="39" s="1"/>
  <c r="AH105" i="9"/>
  <c r="AI105" i="9" s="1"/>
  <c r="AT105" i="9"/>
  <c r="H102" i="28"/>
  <c r="BC102" i="28" s="1"/>
  <c r="AL99" i="27"/>
  <c r="AU105" i="9"/>
  <c r="AY99" i="27"/>
  <c r="BC99" i="27" s="1"/>
  <c r="Q99" i="27"/>
  <c r="S99" i="27" s="1"/>
  <c r="AH99" i="27"/>
  <c r="P99" i="27"/>
  <c r="R99" i="27" s="1"/>
  <c r="AZ99" i="27"/>
  <c r="BD99" i="27" s="1"/>
  <c r="D99" i="27"/>
  <c r="AP99" i="27"/>
  <c r="AD99" i="27"/>
  <c r="BB99" i="27"/>
  <c r="BF99" i="27" s="1"/>
  <c r="Z99" i="27"/>
  <c r="V99" i="27"/>
  <c r="U97" i="27"/>
  <c r="G97" i="27" s="1"/>
  <c r="J103" i="9" s="1"/>
  <c r="I97" i="27"/>
  <c r="AI102" i="28"/>
  <c r="AU102" i="28"/>
  <c r="BG102" i="28"/>
  <c r="BT102" i="28"/>
  <c r="AN102" i="28"/>
  <c r="BU102" i="28"/>
  <c r="BS102" i="28"/>
  <c r="BI102" i="28"/>
  <c r="BP102" i="28"/>
  <c r="BR102" i="28"/>
  <c r="AP102" i="28"/>
  <c r="BF102" i="28"/>
  <c r="BO102" i="28"/>
  <c r="AK102" i="28"/>
  <c r="AR102" i="28"/>
  <c r="AH102" i="28"/>
  <c r="BN101" i="28"/>
  <c r="AS102" i="28"/>
  <c r="BV102" i="28"/>
  <c r="AJ102" i="28"/>
  <c r="BK102" i="28"/>
  <c r="BQ102" i="28"/>
  <c r="BL102" i="28"/>
  <c r="AV102" i="28"/>
  <c r="BH102" i="28"/>
  <c r="AT102" i="28"/>
  <c r="AQ102" i="28"/>
  <c r="BJ102" i="28"/>
  <c r="AL102" i="28"/>
  <c r="AM102" i="28"/>
  <c r="BB102" i="28"/>
  <c r="AW104" i="9"/>
  <c r="AX104" i="9"/>
  <c r="AZ100" i="28"/>
  <c r="BA100" i="28"/>
  <c r="F97" i="27"/>
  <c r="AU97" i="27"/>
  <c r="AW97" i="27"/>
  <c r="G262" i="26" a="1"/>
  <c r="G262" i="26" s="1"/>
  <c r="H262" i="26" a="1"/>
  <c r="H262" i="26" s="1"/>
  <c r="T262" i="26" s="1"/>
  <c r="I262" i="26" a="1"/>
  <c r="I262" i="26" s="1"/>
  <c r="U262" i="26" s="1"/>
  <c r="K262" i="26" a="1"/>
  <c r="K262" i="26" s="1"/>
  <c r="W262" i="26" s="1"/>
  <c r="F262" i="26" a="1"/>
  <c r="F262" i="26" s="1"/>
  <c r="M262" i="26" a="1"/>
  <c r="M262" i="26" s="1"/>
  <c r="L262" i="26" a="1"/>
  <c r="L262" i="26" s="1"/>
  <c r="X262" i="26" s="1"/>
  <c r="J262" i="26" a="1"/>
  <c r="J262" i="26" s="1"/>
  <c r="V262" i="26" s="1"/>
  <c r="AO96" i="27"/>
  <c r="AA98" i="27"/>
  <c r="X98" i="27"/>
  <c r="AV98" i="27" s="1"/>
  <c r="AE98" i="27"/>
  <c r="AC98" i="27" s="1"/>
  <c r="AB98" i="27"/>
  <c r="Q102" i="28" a="1"/>
  <c r="Q102" i="28" s="1"/>
  <c r="S102" i="28" a="1"/>
  <c r="S102" i="28" s="1"/>
  <c r="W102" i="28" a="1"/>
  <c r="W102" i="28" s="1"/>
  <c r="U102" i="28" a="1"/>
  <c r="U102" i="28" s="1"/>
  <c r="CC102" i="28"/>
  <c r="O102" i="28" a="1"/>
  <c r="O102" i="28" s="1"/>
  <c r="AE104" i="9"/>
  <c r="AJ98" i="27" s="1"/>
  <c r="AK98" i="27"/>
  <c r="Y262" i="26" l="1"/>
  <c r="AK262" i="26" s="1"/>
  <c r="N262" i="39"/>
  <c r="O262" i="39" s="1"/>
  <c r="L105" i="9" s="1"/>
  <c r="K102" i="28" s="1"/>
  <c r="AW98" i="27"/>
  <c r="BA97" i="27" s="1"/>
  <c r="BE97" i="27" s="1"/>
  <c r="BG97" i="27" s="1"/>
  <c r="BW100" i="28" s="1"/>
  <c r="AK99" i="27"/>
  <c r="AM99" i="27" s="1"/>
  <c r="AN99" i="27" s="1"/>
  <c r="M102" i="9"/>
  <c r="M99" i="28" s="1"/>
  <c r="AK107" i="9"/>
  <c r="AG106" i="9" a="1"/>
  <c r="AG106" i="9" s="1"/>
  <c r="AK100" i="27" s="1"/>
  <c r="AG99" i="27"/>
  <c r="AF99" i="27"/>
  <c r="AX99" i="27" s="1"/>
  <c r="AI99" i="27"/>
  <c r="AR97" i="27"/>
  <c r="AS97" i="27" s="1"/>
  <c r="AT97" i="27" s="1"/>
  <c r="I103" i="9"/>
  <c r="W99" i="27"/>
  <c r="T99" i="27"/>
  <c r="H99" i="27"/>
  <c r="AT106" i="9"/>
  <c r="AH106" i="9"/>
  <c r="AI106" i="9" s="1"/>
  <c r="AU106" i="9"/>
  <c r="H103" i="28"/>
  <c r="BC103" i="28" s="1"/>
  <c r="AL100" i="27"/>
  <c r="AW105" i="9"/>
  <c r="AX105" i="9"/>
  <c r="AM98" i="27"/>
  <c r="AN98" i="27" s="1"/>
  <c r="AA99" i="27"/>
  <c r="Y99" i="27" s="1"/>
  <c r="X99" i="27"/>
  <c r="AV99" i="27" s="1"/>
  <c r="AY100" i="27"/>
  <c r="BC100" i="27" s="1"/>
  <c r="AD100" i="27"/>
  <c r="P100" i="27"/>
  <c r="R100" i="27" s="1"/>
  <c r="BB100" i="27"/>
  <c r="BF100" i="27" s="1"/>
  <c r="AZ100" i="27"/>
  <c r="BD100" i="27" s="1"/>
  <c r="V100" i="27"/>
  <c r="Z100" i="27"/>
  <c r="AP100" i="27"/>
  <c r="AH100" i="27"/>
  <c r="D100" i="27"/>
  <c r="Q100" i="27"/>
  <c r="S100" i="27" s="1"/>
  <c r="AJ103" i="28"/>
  <c r="AK103" i="28"/>
  <c r="AR103" i="28"/>
  <c r="BR103" i="28"/>
  <c r="BH103" i="28"/>
  <c r="BT103" i="28"/>
  <c r="AI103" i="28"/>
  <c r="AN103" i="28"/>
  <c r="BI103" i="28"/>
  <c r="BU103" i="28"/>
  <c r="AS103" i="28"/>
  <c r="AP103" i="28"/>
  <c r="AT103" i="28"/>
  <c r="BO103" i="28"/>
  <c r="BP103" i="28"/>
  <c r="BV103" i="28"/>
  <c r="AL103" i="28"/>
  <c r="BL103" i="28"/>
  <c r="AV103" i="28"/>
  <c r="AQ103" i="28"/>
  <c r="AU103" i="28"/>
  <c r="BN102" i="28"/>
  <c r="AM103" i="28"/>
  <c r="BS103" i="28"/>
  <c r="BJ103" i="28"/>
  <c r="BG103" i="28"/>
  <c r="BF103" i="28"/>
  <c r="AH103" i="28"/>
  <c r="BK103" i="28"/>
  <c r="BQ103" i="28"/>
  <c r="BB103" i="28"/>
  <c r="X102" i="28"/>
  <c r="AC102" i="28" s="1"/>
  <c r="AX102" i="28" s="1"/>
  <c r="Y102" i="28"/>
  <c r="AD102" i="28" s="1"/>
  <c r="AY102" i="28" s="1"/>
  <c r="AA102" i="28"/>
  <c r="AF102" i="28" s="1"/>
  <c r="I263" i="26" a="1"/>
  <c r="I263" i="26" s="1"/>
  <c r="U263" i="26" s="1"/>
  <c r="G263" i="26" a="1"/>
  <c r="G263" i="26" s="1"/>
  <c r="L263" i="26" a="1"/>
  <c r="L263" i="26" s="1"/>
  <c r="X263" i="26" s="1"/>
  <c r="K263" i="26" a="1"/>
  <c r="K263" i="26" s="1"/>
  <c r="W263" i="26" s="1"/>
  <c r="F263" i="26" a="1"/>
  <c r="F263" i="26" s="1"/>
  <c r="J263" i="26" a="1"/>
  <c r="J263" i="26" s="1"/>
  <c r="V263" i="26" s="1"/>
  <c r="M263" i="26" a="1"/>
  <c r="M263" i="26" s="1"/>
  <c r="H263" i="26" a="1"/>
  <c r="H263" i="26" s="1"/>
  <c r="T263" i="26" s="1"/>
  <c r="L263" i="39" a="1"/>
  <c r="L263" i="39" s="1"/>
  <c r="H263" i="39" a="1"/>
  <c r="H263" i="39" s="1"/>
  <c r="K263" i="39" a="1"/>
  <c r="K263" i="39" s="1"/>
  <c r="M263" i="39" a="1"/>
  <c r="M263" i="39" s="1"/>
  <c r="J263" i="39" a="1"/>
  <c r="J263" i="39" s="1"/>
  <c r="I263" i="39" a="1"/>
  <c r="I263" i="39" s="1"/>
  <c r="F263" i="39" a="1"/>
  <c r="F263" i="39" s="1"/>
  <c r="G263" i="39" a="1"/>
  <c r="G263" i="39" s="1"/>
  <c r="AZ101" i="28"/>
  <c r="BA101" i="28"/>
  <c r="O103" i="28" a="1"/>
  <c r="O103" i="28" s="1"/>
  <c r="CC103" i="28"/>
  <c r="W103" i="28" a="1"/>
  <c r="W103" i="28" s="1"/>
  <c r="S103" i="28" a="1"/>
  <c r="S103" i="28" s="1"/>
  <c r="Q103" i="28" a="1"/>
  <c r="Q103" i="28" s="1"/>
  <c r="U103" i="28" a="1"/>
  <c r="U103" i="28" s="1"/>
  <c r="AE99" i="27"/>
  <c r="AC99" i="27" s="1"/>
  <c r="AB99" i="27"/>
  <c r="AW99" i="27" s="1"/>
  <c r="BA98" i="27"/>
  <c r="BE98" i="27" s="1"/>
  <c r="BG98" i="27" s="1"/>
  <c r="BW101" i="28" s="1"/>
  <c r="AU98" i="27"/>
  <c r="F98" i="27"/>
  <c r="I98" i="27"/>
  <c r="Y98" i="27"/>
  <c r="G98" i="27" s="1"/>
  <c r="J104" i="9" s="1"/>
  <c r="BA96" i="27"/>
  <c r="BE96" i="27" s="1"/>
  <c r="BG96" i="27" s="1"/>
  <c r="BW99" i="28" s="1"/>
  <c r="C264" i="39"/>
  <c r="AD107" i="9"/>
  <c r="K107" i="9"/>
  <c r="F107" i="9"/>
  <c r="E101" i="27"/>
  <c r="C108" i="9"/>
  <c r="C264" i="26"/>
  <c r="AF107" i="9"/>
  <c r="AM107" i="9"/>
  <c r="AK108" i="9" s="1"/>
  <c r="D107" i="9"/>
  <c r="A107" i="9" s="1"/>
  <c r="AL107" i="9"/>
  <c r="AO97" i="27"/>
  <c r="AE106" i="9" l="1"/>
  <c r="AJ100" i="27" s="1"/>
  <c r="Y263" i="26"/>
  <c r="AK263" i="26" s="1"/>
  <c r="N263" i="39"/>
  <c r="O263" i="39" s="1"/>
  <c r="L106" i="9" s="1"/>
  <c r="K103" i="28" s="1"/>
  <c r="M103" i="9"/>
  <c r="M100" i="28" s="1"/>
  <c r="AO98" i="27"/>
  <c r="U104" i="28" a="1"/>
  <c r="U104" i="28" s="1"/>
  <c r="CC104" i="28"/>
  <c r="O104" i="28" a="1"/>
  <c r="O104" i="28" s="1"/>
  <c r="S104" i="28" a="1"/>
  <c r="S104" i="28" s="1"/>
  <c r="W104" i="28" a="1"/>
  <c r="W104" i="28" s="1"/>
  <c r="Q104" i="28" a="1"/>
  <c r="Q104" i="28" s="1"/>
  <c r="H264" i="26" a="1"/>
  <c r="H264" i="26" s="1"/>
  <c r="T264" i="26" s="1"/>
  <c r="J264" i="26" a="1"/>
  <c r="J264" i="26" s="1"/>
  <c r="V264" i="26" s="1"/>
  <c r="F264" i="26" a="1"/>
  <c r="F264" i="26" s="1"/>
  <c r="G264" i="26" a="1"/>
  <c r="G264" i="26" s="1"/>
  <c r="M264" i="26" a="1"/>
  <c r="M264" i="26" s="1"/>
  <c r="K264" i="26" a="1"/>
  <c r="K264" i="26" s="1"/>
  <c r="W264" i="26" s="1"/>
  <c r="L264" i="26" a="1"/>
  <c r="L264" i="26" s="1"/>
  <c r="X264" i="26" s="1"/>
  <c r="I264" i="26" a="1"/>
  <c r="I264" i="26" s="1"/>
  <c r="U264" i="26" s="1"/>
  <c r="AZ102" i="28"/>
  <c r="BA102" i="28"/>
  <c r="AA103" i="28"/>
  <c r="AF103" i="28" s="1"/>
  <c r="X103" i="28"/>
  <c r="AC103" i="28" s="1"/>
  <c r="AX103" i="28" s="1"/>
  <c r="Y103" i="28"/>
  <c r="AD103" i="28" s="1"/>
  <c r="AY103" i="28" s="1"/>
  <c r="Z101" i="27"/>
  <c r="AH101" i="27"/>
  <c r="D101" i="27"/>
  <c r="P101" i="27"/>
  <c r="R101" i="27" s="1"/>
  <c r="AY101" i="27"/>
  <c r="BC101" i="27" s="1"/>
  <c r="AZ101" i="27"/>
  <c r="BD101" i="27" s="1"/>
  <c r="AP101" i="27"/>
  <c r="Q101" i="27"/>
  <c r="S101" i="27" s="1"/>
  <c r="V101" i="27"/>
  <c r="AD101" i="27"/>
  <c r="AG107" i="9" a="1"/>
  <c r="AG107" i="9" s="1"/>
  <c r="T100" i="27"/>
  <c r="H100" i="27"/>
  <c r="W100" i="27"/>
  <c r="U100" i="27" s="1"/>
  <c r="G99" i="27"/>
  <c r="J105" i="9" s="1"/>
  <c r="AG100" i="27"/>
  <c r="AI100" i="27"/>
  <c r="AF100" i="27"/>
  <c r="AX100" i="27" s="1"/>
  <c r="F99" i="27"/>
  <c r="AU99" i="27"/>
  <c r="C265" i="39"/>
  <c r="F108" i="9"/>
  <c r="AF108" i="9"/>
  <c r="AD108" i="9"/>
  <c r="G108" i="9" a="1"/>
  <c r="G108" i="9" s="1"/>
  <c r="J105" i="28" s="1"/>
  <c r="E102" i="27"/>
  <c r="C265" i="26"/>
  <c r="K108" i="9"/>
  <c r="C109" i="9"/>
  <c r="AM108" i="9"/>
  <c r="AK109" i="9" s="1"/>
  <c r="D108" i="9"/>
  <c r="A108" i="9" s="1"/>
  <c r="AL108" i="9"/>
  <c r="AE100" i="27"/>
  <c r="AC100" i="27" s="1"/>
  <c r="AB100" i="27"/>
  <c r="AM100" i="27"/>
  <c r="AN100" i="27" s="1"/>
  <c r="AW106" i="9"/>
  <c r="AX106" i="9"/>
  <c r="AJ108" i="9"/>
  <c r="U99" i="27"/>
  <c r="I99" i="27"/>
  <c r="L264" i="39" a="1"/>
  <c r="L264" i="39" s="1"/>
  <c r="M264" i="39" a="1"/>
  <c r="M264" i="39" s="1"/>
  <c r="I264" i="39" a="1"/>
  <c r="I264" i="39" s="1"/>
  <c r="H264" i="39" a="1"/>
  <c r="H264" i="39" s="1"/>
  <c r="K264" i="39" a="1"/>
  <c r="K264" i="39" s="1"/>
  <c r="J264" i="39" a="1"/>
  <c r="J264" i="39" s="1"/>
  <c r="F264" i="39" a="1"/>
  <c r="F264" i="39" s="1"/>
  <c r="G264" i="39" a="1"/>
  <c r="G264" i="39" s="1"/>
  <c r="AO99" i="27"/>
  <c r="AU107" i="9"/>
  <c r="AT107" i="9"/>
  <c r="AL101" i="27"/>
  <c r="H104" i="28"/>
  <c r="BU104" i="28" s="1"/>
  <c r="AH107" i="9"/>
  <c r="AI107" i="9" s="1"/>
  <c r="I104" i="9"/>
  <c r="AR98" i="27"/>
  <c r="AS98" i="27" s="1"/>
  <c r="AT98" i="27" s="1"/>
  <c r="AA100" i="27"/>
  <c r="X100" i="27"/>
  <c r="AV100" i="27" s="1"/>
  <c r="Y264" i="26" l="1"/>
  <c r="AK264" i="26" s="1"/>
  <c r="AG108" i="9" a="1"/>
  <c r="AG108" i="9" s="1"/>
  <c r="AE108" i="9" s="1"/>
  <c r="AJ102" i="27" s="1"/>
  <c r="AW100" i="27"/>
  <c r="BA99" i="27" s="1"/>
  <c r="BE99" i="27" s="1"/>
  <c r="BG99" i="27" s="1"/>
  <c r="BW102" i="28" s="1"/>
  <c r="N264" i="39"/>
  <c r="O264" i="39" s="1"/>
  <c r="L107" i="9" s="1"/>
  <c r="K104" i="28" s="1"/>
  <c r="M104" i="9"/>
  <c r="M101" i="28" s="1"/>
  <c r="AP102" i="27"/>
  <c r="D102" i="27"/>
  <c r="AD102" i="27"/>
  <c r="AZ102" i="27"/>
  <c r="BD102" i="27" s="1"/>
  <c r="AY102" i="27"/>
  <c r="BC102" i="27" s="1"/>
  <c r="Z102" i="27"/>
  <c r="V102" i="27"/>
  <c r="AH102" i="27"/>
  <c r="P102" i="27"/>
  <c r="R102" i="27" s="1"/>
  <c r="Q102" i="27"/>
  <c r="S102" i="27" s="1"/>
  <c r="T101" i="27"/>
  <c r="H101" i="27"/>
  <c r="W101" i="27"/>
  <c r="U101" i="27" s="1"/>
  <c r="AJ109" i="9"/>
  <c r="BA103" i="28"/>
  <c r="AZ103" i="28"/>
  <c r="X104" i="28"/>
  <c r="AC104" i="28" s="1"/>
  <c r="AA104" i="28"/>
  <c r="AF104" i="28" s="1"/>
  <c r="Y104" i="28"/>
  <c r="AD104" i="28" s="1"/>
  <c r="BQ104" i="28" s="1"/>
  <c r="AE107" i="9"/>
  <c r="AJ101" i="27" s="1"/>
  <c r="AK101" i="27"/>
  <c r="AF101" i="27"/>
  <c r="AI101" i="27"/>
  <c r="AG101" i="27"/>
  <c r="O105" i="28" a="1"/>
  <c r="O105" i="28" s="1"/>
  <c r="U105" i="28" a="1"/>
  <c r="U105" i="28" s="1"/>
  <c r="W105" i="28" a="1"/>
  <c r="W105" i="28" s="1"/>
  <c r="Q105" i="28" a="1"/>
  <c r="Q105" i="28" s="1"/>
  <c r="CC105" i="28"/>
  <c r="S105" i="28" a="1"/>
  <c r="S105" i="28" s="1"/>
  <c r="F100" i="27"/>
  <c r="AO100" i="27" s="1"/>
  <c r="AU100" i="27"/>
  <c r="BB105" i="28"/>
  <c r="BQ105" i="28"/>
  <c r="BO105" i="28"/>
  <c r="AX105" i="28"/>
  <c r="BN104" i="28"/>
  <c r="AS105" i="28"/>
  <c r="BA105" i="28"/>
  <c r="AL105" i="28"/>
  <c r="AY105" i="28"/>
  <c r="BS105" i="28"/>
  <c r="BP105" i="28"/>
  <c r="AI105" i="28"/>
  <c r="AR105" i="28"/>
  <c r="AK105" i="28"/>
  <c r="AP105" i="28"/>
  <c r="BO104" i="28"/>
  <c r="BC105" i="28"/>
  <c r="BU105" i="28"/>
  <c r="AZ105" i="28"/>
  <c r="BT105" i="28"/>
  <c r="BN103" i="28"/>
  <c r="AH105" i="28"/>
  <c r="AJ105" i="28"/>
  <c r="AN105" i="28"/>
  <c r="BR105" i="28"/>
  <c r="AT105" i="28"/>
  <c r="AU105" i="28"/>
  <c r="AQ105" i="28"/>
  <c r="BV105" i="28"/>
  <c r="BD105" i="28"/>
  <c r="AV105" i="28"/>
  <c r="AM105" i="28"/>
  <c r="BJ105" i="28"/>
  <c r="M265" i="39" a="1"/>
  <c r="M265" i="39" s="1"/>
  <c r="L265" i="39" a="1"/>
  <c r="L265" i="39" s="1"/>
  <c r="K265" i="39" a="1"/>
  <c r="K265" i="39" s="1"/>
  <c r="J265" i="39" a="1"/>
  <c r="J265" i="39" s="1"/>
  <c r="H265" i="39" a="1"/>
  <c r="H265" i="39" s="1"/>
  <c r="I265" i="39" a="1"/>
  <c r="I265" i="39" s="1"/>
  <c r="F265" i="39" a="1"/>
  <c r="F265" i="39" s="1"/>
  <c r="G265" i="39" a="1"/>
  <c r="G265" i="39" s="1"/>
  <c r="I105" i="9"/>
  <c r="AR99" i="27"/>
  <c r="AS99" i="27" s="1"/>
  <c r="AT99" i="27" s="1"/>
  <c r="C266" i="39"/>
  <c r="E103" i="27"/>
  <c r="F109" i="9"/>
  <c r="K109" i="9"/>
  <c r="AF109" i="9"/>
  <c r="AD109" i="9"/>
  <c r="C110" i="9"/>
  <c r="G109" i="9" a="1"/>
  <c r="G109" i="9" s="1"/>
  <c r="J106" i="28" s="1"/>
  <c r="C266" i="26"/>
  <c r="AM109" i="9"/>
  <c r="AK110" i="9" s="1"/>
  <c r="AL109" i="9"/>
  <c r="D109" i="9"/>
  <c r="A109" i="9" s="1"/>
  <c r="I100" i="27"/>
  <c r="Y100" i="27"/>
  <c r="G100" i="27" s="1"/>
  <c r="J106" i="9" s="1"/>
  <c r="AA101" i="27"/>
  <c r="X101" i="27"/>
  <c r="AV101" i="27" s="1"/>
  <c r="J265" i="26" a="1"/>
  <c r="J265" i="26" s="1"/>
  <c r="V265" i="26" s="1"/>
  <c r="H265" i="26" a="1"/>
  <c r="H265" i="26" s="1"/>
  <c r="T265" i="26" s="1"/>
  <c r="F265" i="26" a="1"/>
  <c r="F265" i="26" s="1"/>
  <c r="K265" i="26" a="1"/>
  <c r="K265" i="26" s="1"/>
  <c r="W265" i="26" s="1"/>
  <c r="G265" i="26" a="1"/>
  <c r="G265" i="26" s="1"/>
  <c r="M265" i="26" a="1"/>
  <c r="M265" i="26" s="1"/>
  <c r="I265" i="26" a="1"/>
  <c r="I265" i="26" s="1"/>
  <c r="U265" i="26" s="1"/>
  <c r="L265" i="26" a="1"/>
  <c r="L265" i="26" s="1"/>
  <c r="X265" i="26" s="1"/>
  <c r="AW107" i="9"/>
  <c r="AX107" i="9"/>
  <c r="AE101" i="27"/>
  <c r="AC101" i="27" s="1"/>
  <c r="AB101" i="27"/>
  <c r="H105" i="28"/>
  <c r="BK105" i="28" s="1"/>
  <c r="AU108" i="9"/>
  <c r="AT108" i="9"/>
  <c r="AL102" i="27"/>
  <c r="AH108" i="9"/>
  <c r="AI108" i="9" s="1"/>
  <c r="Y265" i="26" l="1"/>
  <c r="AK265" i="26" s="1"/>
  <c r="AK102" i="27"/>
  <c r="AM102" i="27" s="1"/>
  <c r="AN102" i="27" s="1"/>
  <c r="N265" i="39"/>
  <c r="O265" i="39" s="1"/>
  <c r="L108" i="9" s="1"/>
  <c r="K105" i="28" s="1"/>
  <c r="M105" i="9"/>
  <c r="M102" i="28" s="1"/>
  <c r="BP104" i="28"/>
  <c r="BS104" i="28"/>
  <c r="BR104" i="28"/>
  <c r="AE102" i="27"/>
  <c r="AC102" i="27" s="1"/>
  <c r="AB102" i="27"/>
  <c r="AW102" i="27" s="1"/>
  <c r="AR100" i="27"/>
  <c r="AS100" i="27" s="1"/>
  <c r="AT100" i="27" s="1"/>
  <c r="I106" i="9"/>
  <c r="AX101" i="27"/>
  <c r="AP103" i="27"/>
  <c r="V103" i="27"/>
  <c r="AD103" i="27"/>
  <c r="AH103" i="27"/>
  <c r="D103" i="27"/>
  <c r="Q103" i="27"/>
  <c r="S103" i="27" s="1"/>
  <c r="AZ103" i="27"/>
  <c r="BD103" i="27" s="1"/>
  <c r="AY103" i="27"/>
  <c r="BC103" i="27" s="1"/>
  <c r="Z103" i="27"/>
  <c r="BA103" i="27"/>
  <c r="BE103" i="27" s="1"/>
  <c r="P103" i="27"/>
  <c r="R103" i="27" s="1"/>
  <c r="H266" i="39" a="1"/>
  <c r="H266" i="39" s="1"/>
  <c r="K266" i="39" a="1"/>
  <c r="K266" i="39" s="1"/>
  <c r="I266" i="39" a="1"/>
  <c r="I266" i="39" s="1"/>
  <c r="M266" i="39" a="1"/>
  <c r="M266" i="39" s="1"/>
  <c r="J266" i="39" a="1"/>
  <c r="J266" i="39" s="1"/>
  <c r="L266" i="39" a="1"/>
  <c r="L266" i="39" s="1"/>
  <c r="F266" i="39" a="1"/>
  <c r="F266" i="39" s="1"/>
  <c r="G266" i="39" a="1"/>
  <c r="G266" i="39" s="1"/>
  <c r="W102" i="27"/>
  <c r="U102" i="27" s="1"/>
  <c r="T102" i="27"/>
  <c r="H102" i="27"/>
  <c r="I101" i="27"/>
  <c r="Y101" i="27"/>
  <c r="G101" i="27" s="1"/>
  <c r="J107" i="9" s="1"/>
  <c r="AM101" i="27"/>
  <c r="AN101" i="27" s="1"/>
  <c r="I266" i="26" a="1"/>
  <c r="I266" i="26" s="1"/>
  <c r="U266" i="26" s="1"/>
  <c r="J266" i="26" a="1"/>
  <c r="J266" i="26" s="1"/>
  <c r="V266" i="26" s="1"/>
  <c r="H266" i="26" a="1"/>
  <c r="H266" i="26" s="1"/>
  <c r="T266" i="26" s="1"/>
  <c r="F266" i="26" a="1"/>
  <c r="F266" i="26" s="1"/>
  <c r="K266" i="26" a="1"/>
  <c r="K266" i="26" s="1"/>
  <c r="W266" i="26" s="1"/>
  <c r="G266" i="26" a="1"/>
  <c r="G266" i="26" s="1"/>
  <c r="M266" i="26" a="1"/>
  <c r="M266" i="26" s="1"/>
  <c r="L266" i="26" a="1"/>
  <c r="L266" i="26" s="1"/>
  <c r="X266" i="26" s="1"/>
  <c r="AW108" i="9"/>
  <c r="AX108" i="9"/>
  <c r="AT106" i="28"/>
  <c r="AU106" i="28"/>
  <c r="BQ106" i="28"/>
  <c r="AQ106" i="28"/>
  <c r="BS106" i="28"/>
  <c r="AX106" i="28"/>
  <c r="BV106" i="28"/>
  <c r="AJ106" i="28"/>
  <c r="BO106" i="28"/>
  <c r="AZ106" i="28"/>
  <c r="BP106" i="28"/>
  <c r="BN105" i="28"/>
  <c r="AN106" i="28"/>
  <c r="BD106" i="28"/>
  <c r="AM106" i="28"/>
  <c r="BT106" i="28"/>
  <c r="BU106" i="28"/>
  <c r="AK106" i="28"/>
  <c r="AV106" i="28"/>
  <c r="BR106" i="28"/>
  <c r="AY106" i="28"/>
  <c r="BB106" i="28"/>
  <c r="AS106" i="28"/>
  <c r="AP106" i="28"/>
  <c r="BC106" i="28"/>
  <c r="AR106" i="28"/>
  <c r="BA106" i="28"/>
  <c r="AH106" i="28"/>
  <c r="AL106" i="28"/>
  <c r="AI106" i="28"/>
  <c r="BJ106" i="28"/>
  <c r="AJ110" i="9"/>
  <c r="X105" i="28"/>
  <c r="AC105" i="28" s="1"/>
  <c r="BF105" i="28" s="1"/>
  <c r="Y105" i="28"/>
  <c r="AD105" i="28" s="1"/>
  <c r="BG105" i="28" s="1"/>
  <c r="AA105" i="28"/>
  <c r="AF105" i="28" s="1"/>
  <c r="AF102" i="27"/>
  <c r="AI102" i="27"/>
  <c r="AG102" i="27" s="1"/>
  <c r="C267" i="39"/>
  <c r="E104" i="27"/>
  <c r="F110" i="9"/>
  <c r="K110" i="9"/>
  <c r="C111" i="9"/>
  <c r="AD110" i="9"/>
  <c r="C267" i="26"/>
  <c r="AF110" i="9"/>
  <c r="G110" i="9" a="1"/>
  <c r="G110" i="9" s="1"/>
  <c r="J107" i="28" s="1"/>
  <c r="AM110" i="9"/>
  <c r="AK111" i="9" s="1"/>
  <c r="AL110" i="9"/>
  <c r="D110" i="9"/>
  <c r="A110" i="9" s="1"/>
  <c r="AU101" i="27"/>
  <c r="F101" i="27"/>
  <c r="AW101" i="27"/>
  <c r="CC106" i="28"/>
  <c r="U106" i="28" a="1"/>
  <c r="U106" i="28" s="1"/>
  <c r="W106" i="28" a="1"/>
  <c r="W106" i="28" s="1"/>
  <c r="Q106" i="28" a="1"/>
  <c r="Q106" i="28" s="1"/>
  <c r="O106" i="28" a="1"/>
  <c r="O106" i="28" s="1"/>
  <c r="S106" i="28" a="1"/>
  <c r="S106" i="28" s="1"/>
  <c r="AA102" i="27"/>
  <c r="X102" i="27"/>
  <c r="AV102" i="27" s="1"/>
  <c r="H106" i="28"/>
  <c r="BK106" i="28" s="1"/>
  <c r="AL103" i="27"/>
  <c r="AT109" i="9"/>
  <c r="AH109" i="9"/>
  <c r="AI109" i="9" s="1"/>
  <c r="AU109" i="9"/>
  <c r="AG109" i="9" a="1"/>
  <c r="AG109" i="9" s="1"/>
  <c r="Y266" i="26" l="1"/>
  <c r="AK266" i="26" s="1"/>
  <c r="M106" i="9"/>
  <c r="M103" i="28" s="1"/>
  <c r="N266" i="39"/>
  <c r="O266" i="39" s="1"/>
  <c r="L109" i="9" s="1"/>
  <c r="K106" i="28" s="1"/>
  <c r="BX104" i="28"/>
  <c r="AO101" i="27"/>
  <c r="BH105" i="28"/>
  <c r="BI105" i="28"/>
  <c r="AA103" i="27"/>
  <c r="Y103" i="27" s="1"/>
  <c r="X103" i="27"/>
  <c r="AV103" i="27" s="1"/>
  <c r="L267" i="26" a="1"/>
  <c r="L267" i="26" s="1"/>
  <c r="X267" i="26" s="1"/>
  <c r="G267" i="26" a="1"/>
  <c r="G267" i="26" s="1"/>
  <c r="I267" i="26" a="1"/>
  <c r="I267" i="26" s="1"/>
  <c r="U267" i="26" s="1"/>
  <c r="F267" i="26" a="1"/>
  <c r="F267" i="26" s="1"/>
  <c r="M267" i="26" a="1"/>
  <c r="M267" i="26" s="1"/>
  <c r="K267" i="26" a="1"/>
  <c r="K267" i="26" s="1"/>
  <c r="W267" i="26" s="1"/>
  <c r="J267" i="26" a="1"/>
  <c r="J267" i="26" s="1"/>
  <c r="V267" i="26" s="1"/>
  <c r="H267" i="26" a="1"/>
  <c r="H267" i="26" s="1"/>
  <c r="T267" i="26" s="1"/>
  <c r="BA101" i="27"/>
  <c r="BE101" i="27" s="1"/>
  <c r="BA100" i="27"/>
  <c r="BE100" i="27" s="1"/>
  <c r="BG100" i="27" s="1"/>
  <c r="BW103" i="28" s="1"/>
  <c r="AE103" i="27"/>
  <c r="AC103" i="27" s="1"/>
  <c r="AB103" i="27"/>
  <c r="AW103" i="27" s="1"/>
  <c r="BA102" i="27" s="1"/>
  <c r="BE102" i="27" s="1"/>
  <c r="T103" i="27"/>
  <c r="H103" i="27"/>
  <c r="W103" i="27"/>
  <c r="AJ111" i="9"/>
  <c r="AG110" i="9" a="1"/>
  <c r="AG110" i="9" s="1"/>
  <c r="I107" i="9"/>
  <c r="AR101" i="27"/>
  <c r="AS101" i="27" s="1"/>
  <c r="AT101" i="27" s="1"/>
  <c r="AX102" i="27"/>
  <c r="AU102" i="27"/>
  <c r="F102" i="27"/>
  <c r="AO102" i="27" s="1"/>
  <c r="AF103" i="27"/>
  <c r="AI103" i="27"/>
  <c r="AG103" i="27" s="1"/>
  <c r="S107" i="28" a="1"/>
  <c r="S107" i="28" s="1"/>
  <c r="Q107" i="28" a="1"/>
  <c r="Q107" i="28" s="1"/>
  <c r="U107" i="28" a="1"/>
  <c r="U107" i="28" s="1"/>
  <c r="O107" i="28" a="1"/>
  <c r="O107" i="28" s="1"/>
  <c r="CC107" i="28"/>
  <c r="W107" i="28" a="1"/>
  <c r="W107" i="28" s="1"/>
  <c r="X106" i="28"/>
  <c r="AC106" i="28" s="1"/>
  <c r="BF106" i="28" s="1"/>
  <c r="Y106" i="28"/>
  <c r="AD106" i="28" s="1"/>
  <c r="BG106" i="28" s="1"/>
  <c r="AA106" i="28"/>
  <c r="AF106" i="28" s="1"/>
  <c r="C268" i="39"/>
  <c r="E105" i="27"/>
  <c r="F111" i="9"/>
  <c r="C268" i="26"/>
  <c r="G111" i="9" a="1"/>
  <c r="G111" i="9" s="1"/>
  <c r="J108" i="28" s="1"/>
  <c r="AD111" i="9"/>
  <c r="K111" i="9"/>
  <c r="AF111" i="9"/>
  <c r="C112" i="9"/>
  <c r="AM111" i="9"/>
  <c r="AK112" i="9" s="1"/>
  <c r="AL111" i="9"/>
  <c r="D111" i="9"/>
  <c r="A111" i="9" s="1"/>
  <c r="AE109" i="9"/>
  <c r="AJ103" i="27" s="1"/>
  <c r="AK103" i="27"/>
  <c r="BC107" i="28"/>
  <c r="BT107" i="28"/>
  <c r="AI107" i="28"/>
  <c r="AL107" i="28"/>
  <c r="AT107" i="28"/>
  <c r="AN107" i="28"/>
  <c r="BA107" i="28"/>
  <c r="AK107" i="28"/>
  <c r="BO107" i="28"/>
  <c r="BU107" i="28"/>
  <c r="BN106" i="28"/>
  <c r="AP107" i="28"/>
  <c r="BP107" i="28"/>
  <c r="AH107" i="28"/>
  <c r="AU107" i="28"/>
  <c r="AY107" i="28"/>
  <c r="AJ107" i="28"/>
  <c r="BR107" i="28"/>
  <c r="AR107" i="28"/>
  <c r="BB107" i="28"/>
  <c r="AZ107" i="28"/>
  <c r="BS107" i="28"/>
  <c r="AX107" i="28"/>
  <c r="AS107" i="28"/>
  <c r="BV107" i="28"/>
  <c r="BJ107" i="28"/>
  <c r="AM107" i="28"/>
  <c r="BD107" i="28"/>
  <c r="AV107" i="28"/>
  <c r="AQ107" i="28"/>
  <c r="BQ107" i="28"/>
  <c r="I102" i="27"/>
  <c r="Y102" i="27"/>
  <c r="G102" i="27" s="1"/>
  <c r="J108" i="9" s="1"/>
  <c r="AP104" i="27"/>
  <c r="D104" i="27"/>
  <c r="BA104" i="27"/>
  <c r="BE104" i="27" s="1"/>
  <c r="AZ104" i="27"/>
  <c r="BD104" i="27" s="1"/>
  <c r="AD104" i="27"/>
  <c r="AY104" i="27"/>
  <c r="BC104" i="27" s="1"/>
  <c r="Z104" i="27"/>
  <c r="V104" i="27"/>
  <c r="AH104" i="27"/>
  <c r="Q104" i="27"/>
  <c r="S104" i="27" s="1"/>
  <c r="P104" i="27"/>
  <c r="R104" i="27" s="1"/>
  <c r="L267" i="39" a="1"/>
  <c r="L267" i="39" s="1"/>
  <c r="M267" i="39" a="1"/>
  <c r="M267" i="39" s="1"/>
  <c r="J267" i="39" a="1"/>
  <c r="J267" i="39" s="1"/>
  <c r="I267" i="39" a="1"/>
  <c r="I267" i="39" s="1"/>
  <c r="H267" i="39" a="1"/>
  <c r="H267" i="39" s="1"/>
  <c r="K267" i="39" a="1"/>
  <c r="K267" i="39" s="1"/>
  <c r="F267" i="39" a="1"/>
  <c r="F267" i="39" s="1"/>
  <c r="G267" i="39" a="1"/>
  <c r="G267" i="39" s="1"/>
  <c r="AX109" i="9"/>
  <c r="AW109" i="9"/>
  <c r="AL104" i="27"/>
  <c r="AH110" i="9"/>
  <c r="AI110" i="9" s="1"/>
  <c r="H107" i="28"/>
  <c r="BK107" i="28" s="1"/>
  <c r="AU110" i="9"/>
  <c r="AT110" i="9"/>
  <c r="Y267" i="26" l="1"/>
  <c r="AK267" i="26" s="1"/>
  <c r="N267" i="39"/>
  <c r="O267" i="39" s="1"/>
  <c r="L110" i="9" s="1"/>
  <c r="K107" i="28" s="1"/>
  <c r="M107" i="9"/>
  <c r="M104" i="28" s="1"/>
  <c r="AM103" i="27"/>
  <c r="AN103" i="27" s="1"/>
  <c r="AW110" i="9"/>
  <c r="AX110" i="9"/>
  <c r="BB101" i="27"/>
  <c r="BF101" i="27" s="1"/>
  <c r="BG101" i="27" s="1"/>
  <c r="BW104" i="28" s="1"/>
  <c r="BY104" i="28" s="1"/>
  <c r="CE104" i="28" s="1"/>
  <c r="AU103" i="27"/>
  <c r="F103" i="27"/>
  <c r="AX103" i="27"/>
  <c r="BB102" i="27" s="1"/>
  <c r="BF102" i="27" s="1"/>
  <c r="BG102" i="27" s="1"/>
  <c r="BW105" i="28" s="1"/>
  <c r="BH106" i="28"/>
  <c r="BI106" i="28"/>
  <c r="W104" i="27"/>
  <c r="T104" i="27"/>
  <c r="H104" i="27"/>
  <c r="AL105" i="27"/>
  <c r="AT111" i="9"/>
  <c r="AU111" i="9"/>
  <c r="AH111" i="9"/>
  <c r="AI111" i="9" s="1"/>
  <c r="H108" i="28"/>
  <c r="BK108" i="28" s="1"/>
  <c r="AG111" i="9" a="1"/>
  <c r="AG111" i="9" s="1"/>
  <c r="AY108" i="28"/>
  <c r="BB108" i="28"/>
  <c r="BQ108" i="28"/>
  <c r="BT108" i="28"/>
  <c r="AI108" i="28"/>
  <c r="AL108" i="28"/>
  <c r="AM108" i="28"/>
  <c r="BC108" i="28"/>
  <c r="AS108" i="28"/>
  <c r="BU108" i="28"/>
  <c r="BA108" i="28"/>
  <c r="BR108" i="28"/>
  <c r="AR108" i="28"/>
  <c r="AQ108" i="28"/>
  <c r="BP108" i="28"/>
  <c r="BN107" i="28"/>
  <c r="BV108" i="28"/>
  <c r="AX108" i="28"/>
  <c r="BO108" i="28"/>
  <c r="AH108" i="28"/>
  <c r="AZ108" i="28"/>
  <c r="AK108" i="28"/>
  <c r="AJ108" i="28"/>
  <c r="AN108" i="28"/>
  <c r="BS108" i="28"/>
  <c r="BD108" i="28"/>
  <c r="AV108" i="28"/>
  <c r="AP108" i="28"/>
  <c r="AT108" i="28"/>
  <c r="AU108" i="28"/>
  <c r="BJ108" i="28"/>
  <c r="AD105" i="27"/>
  <c r="AH105" i="27"/>
  <c r="Q105" i="27"/>
  <c r="S105" i="27" s="1"/>
  <c r="AY105" i="27"/>
  <c r="BC105" i="27" s="1"/>
  <c r="V105" i="27"/>
  <c r="D105" i="27"/>
  <c r="Z105" i="27"/>
  <c r="AZ105" i="27"/>
  <c r="BD105" i="27" s="1"/>
  <c r="AP105" i="27"/>
  <c r="BA105" i="27"/>
  <c r="BE105" i="27" s="1"/>
  <c r="P105" i="27"/>
  <c r="R105" i="27" s="1"/>
  <c r="I108" i="9"/>
  <c r="AR102" i="27"/>
  <c r="AS102" i="27" s="1"/>
  <c r="AT102" i="27" s="1"/>
  <c r="AE110" i="9"/>
  <c r="AJ104" i="27" s="1"/>
  <c r="AK104" i="27"/>
  <c r="M268" i="39" a="1"/>
  <c r="M268" i="39" s="1"/>
  <c r="L268" i="39" a="1"/>
  <c r="L268" i="39" s="1"/>
  <c r="H268" i="39" a="1"/>
  <c r="H268" i="39" s="1"/>
  <c r="J268" i="39" a="1"/>
  <c r="J268" i="39" s="1"/>
  <c r="I268" i="39" a="1"/>
  <c r="I268" i="39" s="1"/>
  <c r="K268" i="39" a="1"/>
  <c r="K268" i="39" s="1"/>
  <c r="F268" i="39" a="1"/>
  <c r="F268" i="39" s="1"/>
  <c r="G268" i="39" a="1"/>
  <c r="G268" i="39" s="1"/>
  <c r="AA104" i="27"/>
  <c r="Y104" i="27" s="1"/>
  <c r="X104" i="27"/>
  <c r="AV104" i="27" s="1"/>
  <c r="AJ112" i="9"/>
  <c r="L268" i="26" a="1"/>
  <c r="L268" i="26" s="1"/>
  <c r="X268" i="26" s="1"/>
  <c r="I268" i="26" a="1"/>
  <c r="I268" i="26" s="1"/>
  <c r="U268" i="26" s="1"/>
  <c r="H268" i="26" a="1"/>
  <c r="H268" i="26" s="1"/>
  <c r="T268" i="26" s="1"/>
  <c r="K268" i="26" a="1"/>
  <c r="K268" i="26" s="1"/>
  <c r="W268" i="26" s="1"/>
  <c r="J268" i="26" a="1"/>
  <c r="J268" i="26" s="1"/>
  <c r="V268" i="26" s="1"/>
  <c r="G268" i="26" a="1"/>
  <c r="G268" i="26" s="1"/>
  <c r="F268" i="26" a="1"/>
  <c r="F268" i="26" s="1"/>
  <c r="M268" i="26" a="1"/>
  <c r="M268" i="26" s="1"/>
  <c r="O108" i="28" a="1"/>
  <c r="O108" i="28" s="1"/>
  <c r="CC108" i="28"/>
  <c r="S108" i="28" a="1"/>
  <c r="S108" i="28" s="1"/>
  <c r="W108" i="28" a="1"/>
  <c r="W108" i="28" s="1"/>
  <c r="U108" i="28" a="1"/>
  <c r="U108" i="28" s="1"/>
  <c r="Q108" i="28" a="1"/>
  <c r="Q108" i="28" s="1"/>
  <c r="AI104" i="27"/>
  <c r="AG104" i="27" s="1"/>
  <c r="AF104" i="27"/>
  <c r="AE104" i="27"/>
  <c r="AC104" i="27" s="1"/>
  <c r="AB104" i="27"/>
  <c r="AW104" i="27" s="1"/>
  <c r="C269" i="39"/>
  <c r="F112" i="9"/>
  <c r="AF112" i="9"/>
  <c r="AD112" i="9"/>
  <c r="E106" i="27"/>
  <c r="K112" i="9"/>
  <c r="G112" i="9" a="1"/>
  <c r="G112" i="9" s="1"/>
  <c r="J109" i="28" s="1"/>
  <c r="C113" i="9"/>
  <c r="C269" i="26"/>
  <c r="AM112" i="9"/>
  <c r="AK113" i="9" s="1"/>
  <c r="AL112" i="9"/>
  <c r="D112" i="9"/>
  <c r="A112" i="9" s="1"/>
  <c r="Y107" i="28"/>
  <c r="AD107" i="28" s="1"/>
  <c r="BG107" i="28" s="1"/>
  <c r="X107" i="28"/>
  <c r="AC107" i="28" s="1"/>
  <c r="BF107" i="28" s="1"/>
  <c r="AA107" i="28"/>
  <c r="AF107" i="28" s="1"/>
  <c r="I103" i="27"/>
  <c r="U103" i="27"/>
  <c r="G103" i="27" s="1"/>
  <c r="J109" i="9" s="1"/>
  <c r="Y268" i="26" l="1"/>
  <c r="AK268" i="26" s="1"/>
  <c r="AG112" i="9" a="1"/>
  <c r="AG112" i="9" s="1"/>
  <c r="AK106" i="27" s="1"/>
  <c r="M108" i="9"/>
  <c r="M105" i="28" s="1"/>
  <c r="N268" i="39"/>
  <c r="O268" i="39" s="1"/>
  <c r="L111" i="9" s="1"/>
  <c r="K108" i="28" s="1"/>
  <c r="AO103" i="27"/>
  <c r="E264" i="26"/>
  <c r="E264" i="39"/>
  <c r="G269" i="26" a="1"/>
  <c r="G269" i="26" s="1"/>
  <c r="F269" i="26" a="1"/>
  <c r="F269" i="26" s="1"/>
  <c r="H269" i="26" a="1"/>
  <c r="H269" i="26" s="1"/>
  <c r="T269" i="26" s="1"/>
  <c r="M269" i="26" a="1"/>
  <c r="M269" i="26" s="1"/>
  <c r="I269" i="26" a="1"/>
  <c r="I269" i="26" s="1"/>
  <c r="U269" i="26" s="1"/>
  <c r="J269" i="26" a="1"/>
  <c r="J269" i="26" s="1"/>
  <c r="V269" i="26" s="1"/>
  <c r="K269" i="26" a="1"/>
  <c r="K269" i="26" s="1"/>
  <c r="W269" i="26" s="1"/>
  <c r="L269" i="26" a="1"/>
  <c r="L269" i="26" s="1"/>
  <c r="X269" i="26" s="1"/>
  <c r="Q109" i="28" a="1"/>
  <c r="Q109" i="28" s="1"/>
  <c r="O109" i="28" a="1"/>
  <c r="O109" i="28" s="1"/>
  <c r="U109" i="28" a="1"/>
  <c r="U109" i="28" s="1"/>
  <c r="CC109" i="28"/>
  <c r="W109" i="28" a="1"/>
  <c r="W109" i="28" s="1"/>
  <c r="S109" i="28" a="1"/>
  <c r="S109" i="28" s="1"/>
  <c r="J269" i="39" a="1"/>
  <c r="J269" i="39" s="1"/>
  <c r="I269" i="39" a="1"/>
  <c r="I269" i="39" s="1"/>
  <c r="M269" i="39" a="1"/>
  <c r="M269" i="39" s="1"/>
  <c r="K269" i="39" a="1"/>
  <c r="K269" i="39" s="1"/>
  <c r="H269" i="39" a="1"/>
  <c r="H269" i="39" s="1"/>
  <c r="L269" i="39" a="1"/>
  <c r="L269" i="39" s="1"/>
  <c r="F269" i="39" a="1"/>
  <c r="F269" i="39" s="1"/>
  <c r="G269" i="39" a="1"/>
  <c r="G269" i="39" s="1"/>
  <c r="AX111" i="9"/>
  <c r="AW111" i="9"/>
  <c r="AM109" i="28"/>
  <c r="BO109" i="28"/>
  <c r="BS109" i="28"/>
  <c r="AK109" i="28"/>
  <c r="AX109" i="28"/>
  <c r="BQ109" i="28"/>
  <c r="BN108" i="28"/>
  <c r="BC109" i="28"/>
  <c r="AT109" i="28"/>
  <c r="BT109" i="28"/>
  <c r="BV109" i="28"/>
  <c r="BR109" i="28"/>
  <c r="AS109" i="28"/>
  <c r="BU109" i="28"/>
  <c r="BA109" i="28"/>
  <c r="AH109" i="28"/>
  <c r="AL109" i="28"/>
  <c r="AJ109" i="28"/>
  <c r="AZ109" i="28"/>
  <c r="BP109" i="28"/>
  <c r="AN109" i="28"/>
  <c r="BD109" i="28"/>
  <c r="AI109" i="28"/>
  <c r="AU109" i="28"/>
  <c r="AR109" i="28"/>
  <c r="AY109" i="28"/>
  <c r="AP109" i="28"/>
  <c r="AQ109" i="28"/>
  <c r="AV109" i="28"/>
  <c r="BB109" i="28"/>
  <c r="BJ109" i="28"/>
  <c r="AF105" i="27"/>
  <c r="AI105" i="27"/>
  <c r="AG105" i="27"/>
  <c r="C270" i="39"/>
  <c r="G113" i="9" a="1"/>
  <c r="G113" i="9" s="1"/>
  <c r="J110" i="28" s="1"/>
  <c r="K113" i="9"/>
  <c r="C114" i="9"/>
  <c r="E107" i="27"/>
  <c r="F113" i="9"/>
  <c r="AF113" i="9"/>
  <c r="AD113" i="9"/>
  <c r="C270" i="26"/>
  <c r="AM113" i="9"/>
  <c r="AK114" i="9" s="1"/>
  <c r="AL113" i="9"/>
  <c r="D113" i="9"/>
  <c r="A113" i="9" s="1"/>
  <c r="AM104" i="27"/>
  <c r="AN104" i="27" s="1"/>
  <c r="AE111" i="9"/>
  <c r="AJ105" i="27" s="1"/>
  <c r="AK105" i="27"/>
  <c r="X105" i="27"/>
  <c r="AV105" i="27" s="1"/>
  <c r="AA105" i="27"/>
  <c r="Y105" i="27" s="1"/>
  <c r="AA108" i="28"/>
  <c r="AF108" i="28" s="1"/>
  <c r="Y108" i="28"/>
  <c r="AD108" i="28" s="1"/>
  <c r="BG108" i="28" s="1"/>
  <c r="X108" i="28"/>
  <c r="AC108" i="28" s="1"/>
  <c r="BF108" i="28" s="1"/>
  <c r="BH107" i="28"/>
  <c r="BI107" i="28"/>
  <c r="AX104" i="27"/>
  <c r="BB103" i="27" s="1"/>
  <c r="BF103" i="27" s="1"/>
  <c r="BG103" i="27" s="1"/>
  <c r="BW106" i="28" s="1"/>
  <c r="I104" i="27"/>
  <c r="U104" i="27"/>
  <c r="G104" i="27" s="1"/>
  <c r="J110" i="9" s="1"/>
  <c r="AE105" i="27"/>
  <c r="AC105" i="27" s="1"/>
  <c r="AB105" i="27"/>
  <c r="AW105" i="27" s="1"/>
  <c r="H109" i="28"/>
  <c r="BK109" i="28" s="1"/>
  <c r="AL106" i="27"/>
  <c r="AH112" i="9"/>
  <c r="AI112" i="9" s="1"/>
  <c r="AU112" i="9"/>
  <c r="AT112" i="9"/>
  <c r="T105" i="27"/>
  <c r="W105" i="27"/>
  <c r="H105" i="27"/>
  <c r="I109" i="9"/>
  <c r="AR103" i="27"/>
  <c r="AS103" i="27" s="1"/>
  <c r="AT103" i="27" s="1"/>
  <c r="V106" i="27"/>
  <c r="AZ106" i="27"/>
  <c r="BD106" i="27" s="1"/>
  <c r="AP106" i="27"/>
  <c r="AD106" i="27"/>
  <c r="Z106" i="27"/>
  <c r="D106" i="27"/>
  <c r="BA106" i="27"/>
  <c r="BE106" i="27" s="1"/>
  <c r="AH106" i="27"/>
  <c r="Q106" i="27"/>
  <c r="S106" i="27" s="1"/>
  <c r="AY106" i="27"/>
  <c r="BC106" i="27" s="1"/>
  <c r="P106" i="27"/>
  <c r="R106" i="27" s="1"/>
  <c r="AJ113" i="9"/>
  <c r="AU104" i="27"/>
  <c r="F104" i="27"/>
  <c r="Y269" i="26" l="1"/>
  <c r="AK269" i="26" s="1"/>
  <c r="AE112" i="9"/>
  <c r="AJ106" i="27" s="1"/>
  <c r="AM106" i="27" s="1"/>
  <c r="AN106" i="27" s="1"/>
  <c r="N269" i="39"/>
  <c r="O269" i="39" s="1"/>
  <c r="L112" i="9" s="1"/>
  <c r="K109" i="28" s="1"/>
  <c r="M109" i="9"/>
  <c r="M106" i="28" s="1"/>
  <c r="AG113" i="9" a="1"/>
  <c r="AG113" i="9" s="1"/>
  <c r="AK107" i="27" s="1"/>
  <c r="AO104" i="27"/>
  <c r="H106" i="27"/>
  <c r="T106" i="27"/>
  <c r="W106" i="27"/>
  <c r="G270" i="26" a="1"/>
  <c r="G270" i="26" s="1"/>
  <c r="J270" i="26" a="1"/>
  <c r="J270" i="26" s="1"/>
  <c r="V270" i="26" s="1"/>
  <c r="F270" i="26" a="1"/>
  <c r="F270" i="26" s="1"/>
  <c r="M270" i="26" a="1"/>
  <c r="M270" i="26" s="1"/>
  <c r="I270" i="26" a="1"/>
  <c r="I270" i="26" s="1"/>
  <c r="U270" i="26" s="1"/>
  <c r="L270" i="26" a="1"/>
  <c r="L270" i="26" s="1"/>
  <c r="X270" i="26" s="1"/>
  <c r="H270" i="26" a="1"/>
  <c r="H270" i="26" s="1"/>
  <c r="T270" i="26" s="1"/>
  <c r="K270" i="26" a="1"/>
  <c r="K270" i="26" s="1"/>
  <c r="W270" i="26" s="1"/>
  <c r="X109" i="28"/>
  <c r="AC109" i="28" s="1"/>
  <c r="BF109" i="28" s="1"/>
  <c r="Y109" i="28"/>
  <c r="AD109" i="28" s="1"/>
  <c r="BG109" i="28" s="1"/>
  <c r="AA109" i="28"/>
  <c r="AF109" i="28" s="1"/>
  <c r="L270" i="39" a="1"/>
  <c r="L270" i="39" s="1"/>
  <c r="M270" i="39" a="1"/>
  <c r="M270" i="39" s="1"/>
  <c r="K270" i="39" a="1"/>
  <c r="K270" i="39" s="1"/>
  <c r="I270" i="39" a="1"/>
  <c r="I270" i="39" s="1"/>
  <c r="H270" i="39" a="1"/>
  <c r="H270" i="39" s="1"/>
  <c r="J270" i="39" a="1"/>
  <c r="J270" i="39" s="1"/>
  <c r="F270" i="39" a="1"/>
  <c r="F270" i="39" s="1"/>
  <c r="G270" i="39" a="1"/>
  <c r="G270" i="39" s="1"/>
  <c r="AM105" i="27"/>
  <c r="AN105" i="27" s="1"/>
  <c r="I110" i="9"/>
  <c r="AR104" i="27"/>
  <c r="AS104" i="27" s="1"/>
  <c r="AT104" i="27" s="1"/>
  <c r="U105" i="27"/>
  <c r="G105" i="27" s="1"/>
  <c r="J111" i="9" s="1"/>
  <c r="I105" i="27"/>
  <c r="Q110" i="28" a="1"/>
  <c r="Q110" i="28" s="1"/>
  <c r="W110" i="28" a="1"/>
  <c r="W110" i="28" s="1"/>
  <c r="CC110" i="28"/>
  <c r="S110" i="28" a="1"/>
  <c r="S110" i="28" s="1"/>
  <c r="U110" i="28" a="1"/>
  <c r="U110" i="28" s="1"/>
  <c r="O110" i="28" a="1"/>
  <c r="O110" i="28" s="1"/>
  <c r="AA106" i="27"/>
  <c r="Y106" i="27" s="1"/>
  <c r="X106" i="27"/>
  <c r="AV106" i="27" s="1"/>
  <c r="BH108" i="28"/>
  <c r="BI108" i="28"/>
  <c r="AX105" i="27"/>
  <c r="AL107" i="27"/>
  <c r="AH113" i="9"/>
  <c r="AI113" i="9" s="1"/>
  <c r="AU113" i="9"/>
  <c r="AT113" i="9"/>
  <c r="H110" i="28"/>
  <c r="BK110" i="28" s="1"/>
  <c r="AJ114" i="9"/>
  <c r="C271" i="39"/>
  <c r="AF114" i="9"/>
  <c r="AD114" i="9"/>
  <c r="C271" i="26"/>
  <c r="F114" i="9"/>
  <c r="C115" i="9"/>
  <c r="E108" i="27"/>
  <c r="G114" i="9" a="1"/>
  <c r="G114" i="9" s="1"/>
  <c r="J111" i="28" s="1"/>
  <c r="K114" i="9"/>
  <c r="AL114" i="9"/>
  <c r="AM114" i="9"/>
  <c r="AK115" i="9" s="1"/>
  <c r="D114" i="9"/>
  <c r="A114" i="9" s="1"/>
  <c r="AU105" i="27"/>
  <c r="F105" i="27"/>
  <c r="Q107" i="27"/>
  <c r="S107" i="27" s="1"/>
  <c r="AY107" i="27"/>
  <c r="BC107" i="27" s="1"/>
  <c r="V107" i="27"/>
  <c r="AD107" i="27"/>
  <c r="D107" i="27"/>
  <c r="AZ107" i="27"/>
  <c r="BD107" i="27" s="1"/>
  <c r="BA107" i="27"/>
  <c r="BE107" i="27" s="1"/>
  <c r="AH107" i="27"/>
  <c r="Z107" i="27"/>
  <c r="AP107" i="27"/>
  <c r="P107" i="27"/>
  <c r="R107" i="27" s="1"/>
  <c r="AX112" i="9"/>
  <c r="AW112" i="9"/>
  <c r="AE106" i="27"/>
  <c r="AC106" i="27" s="1"/>
  <c r="AB106" i="27"/>
  <c r="AW106" i="27" s="1"/>
  <c r="AF106" i="27"/>
  <c r="AI106" i="27"/>
  <c r="AG106" i="27"/>
  <c r="BC110" i="28"/>
  <c r="BQ110" i="28"/>
  <c r="BT110" i="28"/>
  <c r="BU110" i="28"/>
  <c r="AM110" i="28"/>
  <c r="AU110" i="28"/>
  <c r="AY110" i="28"/>
  <c r="AZ110" i="28"/>
  <c r="AS110" i="28"/>
  <c r="BN109" i="28"/>
  <c r="BA110" i="28"/>
  <c r="AX110" i="28"/>
  <c r="AI110" i="28"/>
  <c r="BR110" i="28"/>
  <c r="AR110" i="28"/>
  <c r="AP110" i="28"/>
  <c r="BP110" i="28"/>
  <c r="AH110" i="28"/>
  <c r="BS110" i="28"/>
  <c r="BO110" i="28"/>
  <c r="AL110" i="28"/>
  <c r="BB110" i="28"/>
  <c r="AT110" i="28"/>
  <c r="BJ110" i="28"/>
  <c r="AK110" i="28"/>
  <c r="AV110" i="28"/>
  <c r="AN110" i="28"/>
  <c r="BV110" i="28"/>
  <c r="AQ110" i="28"/>
  <c r="AJ110" i="28"/>
  <c r="BD110" i="28"/>
  <c r="Y270" i="26" l="1"/>
  <c r="AK270" i="26" s="1"/>
  <c r="AG114" i="9" a="1"/>
  <c r="AG114" i="9" s="1"/>
  <c r="AK108" i="27" s="1"/>
  <c r="AE113" i="9"/>
  <c r="AJ107" i="27" s="1"/>
  <c r="AM107" i="27" s="1"/>
  <c r="AN107" i="27" s="1"/>
  <c r="AO105" i="27"/>
  <c r="N270" i="39"/>
  <c r="O270" i="39" s="1"/>
  <c r="L113" i="9" s="1"/>
  <c r="K110" i="28" s="1"/>
  <c r="M110" i="9"/>
  <c r="M107" i="28" s="1"/>
  <c r="AJ115" i="9"/>
  <c r="AX106" i="27"/>
  <c r="BB105" i="27" s="1"/>
  <c r="BF105" i="27" s="1"/>
  <c r="BG105" i="27" s="1"/>
  <c r="BW108" i="28" s="1"/>
  <c r="J271" i="39" a="1"/>
  <c r="J271" i="39" s="1"/>
  <c r="K271" i="39" a="1"/>
  <c r="K271" i="39" s="1"/>
  <c r="I271" i="39" a="1"/>
  <c r="I271" i="39" s="1"/>
  <c r="M271" i="39" a="1"/>
  <c r="M271" i="39" s="1"/>
  <c r="L271" i="39" a="1"/>
  <c r="L271" i="39" s="1"/>
  <c r="H271" i="39" a="1"/>
  <c r="H271" i="39" s="1"/>
  <c r="F271" i="39" a="1"/>
  <c r="F271" i="39" s="1"/>
  <c r="G271" i="39" a="1"/>
  <c r="G271" i="39" s="1"/>
  <c r="AX113" i="9"/>
  <c r="AW113" i="9"/>
  <c r="AA107" i="27"/>
  <c r="Y107" i="27" s="1"/>
  <c r="X107" i="27"/>
  <c r="AV107" i="27" s="1"/>
  <c r="U106" i="27"/>
  <c r="G106" i="27" s="1"/>
  <c r="J112" i="9" s="1"/>
  <c r="I106" i="27"/>
  <c r="W107" i="27"/>
  <c r="T107" i="27"/>
  <c r="H107" i="27"/>
  <c r="BH109" i="28"/>
  <c r="BI109" i="28"/>
  <c r="AI107" i="27"/>
  <c r="AG107" i="27" s="1"/>
  <c r="AF107" i="27"/>
  <c r="F106" i="27"/>
  <c r="AU106" i="27"/>
  <c r="AZ108" i="27"/>
  <c r="BD108" i="27" s="1"/>
  <c r="AP108" i="27"/>
  <c r="V108" i="27"/>
  <c r="Z108" i="27"/>
  <c r="BA108" i="27"/>
  <c r="BE108" i="27" s="1"/>
  <c r="D108" i="27"/>
  <c r="AH108" i="27"/>
  <c r="AD108" i="27"/>
  <c r="AY108" i="27"/>
  <c r="BC108" i="27" s="1"/>
  <c r="Q108" i="27"/>
  <c r="S108" i="27" s="1"/>
  <c r="P108" i="27"/>
  <c r="R108" i="27" s="1"/>
  <c r="AE107" i="27"/>
  <c r="AC107" i="27" s="1"/>
  <c r="AB107" i="27"/>
  <c r="AW107" i="27" s="1"/>
  <c r="AA110" i="28"/>
  <c r="AF110" i="28" s="1"/>
  <c r="X110" i="28"/>
  <c r="AC110" i="28" s="1"/>
  <c r="BF110" i="28" s="1"/>
  <c r="Y110" i="28"/>
  <c r="AD110" i="28" s="1"/>
  <c r="BG110" i="28" s="1"/>
  <c r="AY111" i="28"/>
  <c r="BB111" i="28"/>
  <c r="BU111" i="28"/>
  <c r="BP111" i="28"/>
  <c r="BN110" i="28"/>
  <c r="AJ111" i="28"/>
  <c r="AH111" i="28"/>
  <c r="AX111" i="28"/>
  <c r="AP111" i="28"/>
  <c r="BV111" i="28"/>
  <c r="BO111" i="28"/>
  <c r="BA111" i="28"/>
  <c r="BC111" i="28"/>
  <c r="BR111" i="28"/>
  <c r="AR111" i="28"/>
  <c r="AZ111" i="28"/>
  <c r="AK111" i="28"/>
  <c r="BS111" i="28"/>
  <c r="AU111" i="28"/>
  <c r="AL111" i="28"/>
  <c r="AM111" i="28"/>
  <c r="AQ111" i="28"/>
  <c r="AS111" i="28"/>
  <c r="AT111" i="28"/>
  <c r="BQ111" i="28"/>
  <c r="AN111" i="28"/>
  <c r="AI111" i="28"/>
  <c r="BD111" i="28"/>
  <c r="AV111" i="28"/>
  <c r="BT111" i="28"/>
  <c r="BJ111" i="28"/>
  <c r="S111" i="28" a="1"/>
  <c r="S111" i="28" s="1"/>
  <c r="CC111" i="28"/>
  <c r="U111" i="28" a="1"/>
  <c r="U111" i="28" s="1"/>
  <c r="Q111" i="28" a="1"/>
  <c r="Q111" i="28" s="1"/>
  <c r="W111" i="28" a="1"/>
  <c r="W111" i="28" s="1"/>
  <c r="O111" i="28" a="1"/>
  <c r="O111" i="28" s="1"/>
  <c r="L271" i="26" a="1"/>
  <c r="L271" i="26" s="1"/>
  <c r="X271" i="26" s="1"/>
  <c r="K271" i="26" a="1"/>
  <c r="K271" i="26" s="1"/>
  <c r="W271" i="26" s="1"/>
  <c r="G271" i="26" a="1"/>
  <c r="G271" i="26" s="1"/>
  <c r="H271" i="26" a="1"/>
  <c r="H271" i="26" s="1"/>
  <c r="T271" i="26" s="1"/>
  <c r="F271" i="26" a="1"/>
  <c r="F271" i="26" s="1"/>
  <c r="I271" i="26" a="1"/>
  <c r="I271" i="26" s="1"/>
  <c r="U271" i="26" s="1"/>
  <c r="J271" i="26" a="1"/>
  <c r="J271" i="26" s="1"/>
  <c r="V271" i="26" s="1"/>
  <c r="M271" i="26" a="1"/>
  <c r="M271" i="26" s="1"/>
  <c r="I111" i="9"/>
  <c r="AR105" i="27"/>
  <c r="AS105" i="27" s="1"/>
  <c r="AT105" i="27" s="1"/>
  <c r="AT114" i="9"/>
  <c r="AH114" i="9"/>
  <c r="AI114" i="9" s="1"/>
  <c r="H111" i="28"/>
  <c r="BK111" i="28" s="1"/>
  <c r="AL108" i="27"/>
  <c r="AU114" i="9"/>
  <c r="C272" i="39"/>
  <c r="AF115" i="9"/>
  <c r="AD115" i="9"/>
  <c r="K115" i="9"/>
  <c r="E109" i="27"/>
  <c r="G115" i="9" a="1"/>
  <c r="G115" i="9" s="1"/>
  <c r="J112" i="28" s="1"/>
  <c r="C272" i="26"/>
  <c r="C116" i="9"/>
  <c r="F115" i="9"/>
  <c r="AM115" i="9"/>
  <c r="AK116" i="9" s="1"/>
  <c r="AL115" i="9"/>
  <c r="D115" i="9"/>
  <c r="A115" i="9" s="1"/>
  <c r="BB104" i="27"/>
  <c r="BF104" i="27" s="1"/>
  <c r="BG104" i="27" s="1"/>
  <c r="BW107" i="28" s="1"/>
  <c r="Y271" i="26" l="1"/>
  <c r="AK271" i="26" s="1"/>
  <c r="AE114" i="9"/>
  <c r="AJ108" i="27" s="1"/>
  <c r="AG115" i="9" a="1"/>
  <c r="AG115" i="9" s="1"/>
  <c r="AK109" i="27" s="1"/>
  <c r="M111" i="9"/>
  <c r="M108" i="28" s="1"/>
  <c r="N271" i="39"/>
  <c r="O271" i="39" s="1"/>
  <c r="L114" i="9" s="1"/>
  <c r="K111" i="28" s="1"/>
  <c r="AX107" i="27"/>
  <c r="BI110" i="28"/>
  <c r="BH110" i="28"/>
  <c r="AI112" i="28"/>
  <c r="BC112" i="28"/>
  <c r="BQ112" i="28"/>
  <c r="BT112" i="28"/>
  <c r="BS112" i="28"/>
  <c r="AP112" i="28"/>
  <c r="AK112" i="28"/>
  <c r="BP112" i="28"/>
  <c r="AR112" i="28"/>
  <c r="BV112" i="28"/>
  <c r="BB112" i="28"/>
  <c r="AU112" i="28"/>
  <c r="AY112" i="28"/>
  <c r="BN111" i="28"/>
  <c r="AJ112" i="28"/>
  <c r="BO112" i="28"/>
  <c r="AN112" i="28"/>
  <c r="AZ112" i="28"/>
  <c r="AL112" i="28"/>
  <c r="BR112" i="28"/>
  <c r="AM112" i="28"/>
  <c r="AX112" i="28"/>
  <c r="BA112" i="28"/>
  <c r="AS112" i="28"/>
  <c r="AH112" i="28"/>
  <c r="BU112" i="28"/>
  <c r="AT112" i="28"/>
  <c r="BD112" i="28"/>
  <c r="AQ112" i="28"/>
  <c r="AV112" i="28"/>
  <c r="BJ112" i="28"/>
  <c r="AJ116" i="9"/>
  <c r="AU107" i="27"/>
  <c r="F107" i="27"/>
  <c r="T108" i="27"/>
  <c r="H108" i="27"/>
  <c r="W108" i="27"/>
  <c r="I112" i="9"/>
  <c r="AR106" i="27"/>
  <c r="AS106" i="27" s="1"/>
  <c r="AT106" i="27" s="1"/>
  <c r="AO106" i="27"/>
  <c r="Y111" i="28"/>
  <c r="AD111" i="28" s="1"/>
  <c r="BG111" i="28" s="1"/>
  <c r="X111" i="28"/>
  <c r="AC111" i="28" s="1"/>
  <c r="BF111" i="28" s="1"/>
  <c r="AA111" i="28"/>
  <c r="AF111" i="28" s="1"/>
  <c r="D109" i="27"/>
  <c r="Z109" i="27"/>
  <c r="AP109" i="27"/>
  <c r="AH109" i="27"/>
  <c r="AZ109" i="27"/>
  <c r="BD109" i="27" s="1"/>
  <c r="BA109" i="27"/>
  <c r="BE109" i="27" s="1"/>
  <c r="Q109" i="27"/>
  <c r="S109" i="27" s="1"/>
  <c r="AY109" i="27"/>
  <c r="BC109" i="27" s="1"/>
  <c r="V109" i="27"/>
  <c r="AD109" i="27"/>
  <c r="P109" i="27"/>
  <c r="R109" i="27" s="1"/>
  <c r="AA108" i="27"/>
  <c r="Y108" i="27" s="1"/>
  <c r="X108" i="27"/>
  <c r="AV108" i="27" s="1"/>
  <c r="AX114" i="9"/>
  <c r="AW114" i="9"/>
  <c r="BB106" i="27"/>
  <c r="BF106" i="27" s="1"/>
  <c r="BG106" i="27" s="1"/>
  <c r="BW109" i="28" s="1"/>
  <c r="C273" i="39"/>
  <c r="AF116" i="9"/>
  <c r="AD116" i="9"/>
  <c r="K116" i="9"/>
  <c r="C117" i="9"/>
  <c r="E110" i="27"/>
  <c r="G116" i="9" a="1"/>
  <c r="G116" i="9" s="1"/>
  <c r="J113" i="28" s="1"/>
  <c r="F116" i="9"/>
  <c r="C273" i="26"/>
  <c r="AM116" i="9"/>
  <c r="AK117" i="9" s="1"/>
  <c r="AL116" i="9"/>
  <c r="D116" i="9"/>
  <c r="A116" i="9" s="1"/>
  <c r="AI108" i="27"/>
  <c r="AG108" i="27" s="1"/>
  <c r="AF108" i="27"/>
  <c r="U112" i="28" a="1"/>
  <c r="U112" i="28" s="1"/>
  <c r="Q112" i="28" a="1"/>
  <c r="Q112" i="28" s="1"/>
  <c r="O112" i="28" a="1"/>
  <c r="O112" i="28" s="1"/>
  <c r="W112" i="28" a="1"/>
  <c r="W112" i="28" s="1"/>
  <c r="S112" i="28" a="1"/>
  <c r="S112" i="28" s="1"/>
  <c r="CC112" i="28"/>
  <c r="U107" i="27"/>
  <c r="G107" i="27" s="1"/>
  <c r="J113" i="9" s="1"/>
  <c r="I107" i="27"/>
  <c r="J272" i="39" a="1"/>
  <c r="J272" i="39" s="1"/>
  <c r="K272" i="39" a="1"/>
  <c r="K272" i="39" s="1"/>
  <c r="H272" i="39" a="1"/>
  <c r="H272" i="39" s="1"/>
  <c r="I272" i="39" a="1"/>
  <c r="I272" i="39" s="1"/>
  <c r="L272" i="39" a="1"/>
  <c r="L272" i="39" s="1"/>
  <c r="M272" i="39" a="1"/>
  <c r="M272" i="39" s="1"/>
  <c r="F272" i="39" a="1"/>
  <c r="F272" i="39" s="1"/>
  <c r="G272" i="39" a="1"/>
  <c r="G272" i="39" s="1"/>
  <c r="AH115" i="9"/>
  <c r="AI115" i="9" s="1"/>
  <c r="AL109" i="27"/>
  <c r="AU115" i="9"/>
  <c r="AT115" i="9"/>
  <c r="H112" i="28"/>
  <c r="BK112" i="28" s="1"/>
  <c r="AM108" i="27"/>
  <c r="AN108" i="27" s="1"/>
  <c r="I272" i="26" a="1"/>
  <c r="I272" i="26" s="1"/>
  <c r="U272" i="26" s="1"/>
  <c r="F272" i="26" a="1"/>
  <c r="F272" i="26" s="1"/>
  <c r="H272" i="26" a="1"/>
  <c r="H272" i="26" s="1"/>
  <c r="T272" i="26" s="1"/>
  <c r="L272" i="26" a="1"/>
  <c r="L272" i="26" s="1"/>
  <c r="X272" i="26" s="1"/>
  <c r="G272" i="26" a="1"/>
  <c r="G272" i="26" s="1"/>
  <c r="J272" i="26" a="1"/>
  <c r="J272" i="26" s="1"/>
  <c r="V272" i="26" s="1"/>
  <c r="K272" i="26" a="1"/>
  <c r="K272" i="26" s="1"/>
  <c r="W272" i="26" s="1"/>
  <c r="M272" i="26" a="1"/>
  <c r="M272" i="26" s="1"/>
  <c r="AE108" i="27"/>
  <c r="AC108" i="27" s="1"/>
  <c r="AB108" i="27"/>
  <c r="AW108" i="27" s="1"/>
  <c r="Y272" i="26" l="1"/>
  <c r="AK272" i="26" s="1"/>
  <c r="AG116" i="9" a="1"/>
  <c r="AG116" i="9" s="1"/>
  <c r="AK110" i="27" s="1"/>
  <c r="AE115" i="9"/>
  <c r="AJ109" i="27" s="1"/>
  <c r="AM109" i="27" s="1"/>
  <c r="AN109" i="27" s="1"/>
  <c r="N272" i="39"/>
  <c r="O272" i="39" s="1"/>
  <c r="L115" i="9" s="1"/>
  <c r="K112" i="28" s="1"/>
  <c r="M112" i="9"/>
  <c r="M109" i="28" s="1"/>
  <c r="AJ117" i="9"/>
  <c r="U108" i="27"/>
  <c r="G108" i="27" s="1"/>
  <c r="J114" i="9" s="1"/>
  <c r="I108" i="27"/>
  <c r="AX115" i="9"/>
  <c r="AW115" i="9"/>
  <c r="AU108" i="27"/>
  <c r="F108" i="27"/>
  <c r="AU116" i="9"/>
  <c r="AH116" i="9"/>
  <c r="AI116" i="9" s="1"/>
  <c r="AL110" i="27"/>
  <c r="H113" i="28"/>
  <c r="BK113" i="28" s="1"/>
  <c r="AT116" i="9"/>
  <c r="BH111" i="28"/>
  <c r="BI111" i="28"/>
  <c r="AI109" i="27"/>
  <c r="AG109" i="27" s="1"/>
  <c r="AF109" i="27"/>
  <c r="Y112" i="28"/>
  <c r="AD112" i="28" s="1"/>
  <c r="BG112" i="28" s="1"/>
  <c r="AA112" i="28"/>
  <c r="AF112" i="28" s="1"/>
  <c r="X112" i="28"/>
  <c r="AC112" i="28" s="1"/>
  <c r="BF112" i="28" s="1"/>
  <c r="AR107" i="27"/>
  <c r="AS107" i="27" s="1"/>
  <c r="AT107" i="27" s="1"/>
  <c r="I113" i="9"/>
  <c r="AO107" i="27"/>
  <c r="P110" i="27"/>
  <c r="R110" i="27" s="1"/>
  <c r="AY110" i="27"/>
  <c r="BC110" i="27" s="1"/>
  <c r="Q110" i="27"/>
  <c r="S110" i="27" s="1"/>
  <c r="BA110" i="27"/>
  <c r="BE110" i="27" s="1"/>
  <c r="AH110" i="27"/>
  <c r="D110" i="27"/>
  <c r="AP110" i="27"/>
  <c r="AZ110" i="27"/>
  <c r="BD110" i="27" s="1"/>
  <c r="AD110" i="27"/>
  <c r="V110" i="27"/>
  <c r="Z110" i="27"/>
  <c r="Q113" i="28" a="1"/>
  <c r="Q113" i="28" s="1"/>
  <c r="O113" i="28" a="1"/>
  <c r="O113" i="28" s="1"/>
  <c r="U113" i="28" a="1"/>
  <c r="U113" i="28" s="1"/>
  <c r="CC113" i="28"/>
  <c r="S113" i="28" a="1"/>
  <c r="S113" i="28" s="1"/>
  <c r="W113" i="28" a="1"/>
  <c r="W113" i="28" s="1"/>
  <c r="I273" i="39" a="1"/>
  <c r="I273" i="39" s="1"/>
  <c r="L273" i="39" a="1"/>
  <c r="L273" i="39" s="1"/>
  <c r="K273" i="39" a="1"/>
  <c r="K273" i="39" s="1"/>
  <c r="J273" i="39" a="1"/>
  <c r="J273" i="39" s="1"/>
  <c r="M273" i="39" a="1"/>
  <c r="M273" i="39" s="1"/>
  <c r="H273" i="39" a="1"/>
  <c r="H273" i="39" s="1"/>
  <c r="F273" i="39" a="1"/>
  <c r="F273" i="39" s="1"/>
  <c r="G273" i="39" a="1"/>
  <c r="G273" i="39" s="1"/>
  <c r="K273" i="26" a="1"/>
  <c r="K273" i="26" s="1"/>
  <c r="W273" i="26" s="1"/>
  <c r="J273" i="26" a="1"/>
  <c r="J273" i="26" s="1"/>
  <c r="V273" i="26" s="1"/>
  <c r="H273" i="26" a="1"/>
  <c r="H273" i="26" s="1"/>
  <c r="T273" i="26" s="1"/>
  <c r="F273" i="26" a="1"/>
  <c r="F273" i="26" s="1"/>
  <c r="G273" i="26" a="1"/>
  <c r="G273" i="26" s="1"/>
  <c r="L273" i="26" a="1"/>
  <c r="L273" i="26" s="1"/>
  <c r="X273" i="26" s="1"/>
  <c r="M273" i="26" a="1"/>
  <c r="M273" i="26" s="1"/>
  <c r="I273" i="26" a="1"/>
  <c r="I273" i="26" s="1"/>
  <c r="U273" i="26" s="1"/>
  <c r="W109" i="27"/>
  <c r="U109" i="27" s="1"/>
  <c r="T109" i="27"/>
  <c r="H109" i="27"/>
  <c r="AX108" i="27"/>
  <c r="AA109" i="27"/>
  <c r="X109" i="27"/>
  <c r="AV109" i="27" s="1"/>
  <c r="C274" i="39"/>
  <c r="G117" i="9" a="1"/>
  <c r="G117" i="9" s="1"/>
  <c r="J114" i="28" s="1"/>
  <c r="F117" i="9"/>
  <c r="AD117" i="9"/>
  <c r="AF117" i="9"/>
  <c r="E111" i="27"/>
  <c r="C274" i="26"/>
  <c r="C118" i="9"/>
  <c r="K117" i="9"/>
  <c r="AM117" i="9"/>
  <c r="AK118" i="9" s="1"/>
  <c r="AL117" i="9"/>
  <c r="D117" i="9"/>
  <c r="A117" i="9" s="1"/>
  <c r="AR113" i="28"/>
  <c r="AP113" i="28"/>
  <c r="BP113" i="28"/>
  <c r="AT113" i="28"/>
  <c r="AZ113" i="28"/>
  <c r="BU113" i="28"/>
  <c r="AN113" i="28"/>
  <c r="BS113" i="28"/>
  <c r="AU113" i="28"/>
  <c r="BA113" i="28"/>
  <c r="BO113" i="28"/>
  <c r="AS113" i="28"/>
  <c r="AM113" i="28"/>
  <c r="BQ113" i="28"/>
  <c r="BD113" i="28"/>
  <c r="AH113" i="28"/>
  <c r="BT113" i="28"/>
  <c r="AJ113" i="28"/>
  <c r="AV113" i="28"/>
  <c r="BR113" i="28"/>
  <c r="AY113" i="28"/>
  <c r="AK113" i="28"/>
  <c r="AQ113" i="28"/>
  <c r="BC113" i="28"/>
  <c r="BN112" i="28"/>
  <c r="AI113" i="28"/>
  <c r="BB113" i="28"/>
  <c r="AL113" i="28"/>
  <c r="BV113" i="28"/>
  <c r="AX113" i="28"/>
  <c r="BJ113" i="28"/>
  <c r="AE109" i="27"/>
  <c r="AC109" i="27" s="1"/>
  <c r="AB109" i="27"/>
  <c r="AW109" i="27" s="1"/>
  <c r="Y273" i="26" l="1"/>
  <c r="AK273" i="26" s="1"/>
  <c r="AJ118" i="9"/>
  <c r="AE116" i="9"/>
  <c r="AJ110" i="27" s="1"/>
  <c r="AM110" i="27" s="1"/>
  <c r="AN110" i="27" s="1"/>
  <c r="N273" i="39"/>
  <c r="O273" i="39" s="1"/>
  <c r="L116" i="9" s="1"/>
  <c r="K113" i="28" s="1"/>
  <c r="M113" i="9"/>
  <c r="M110" i="28" s="1"/>
  <c r="AX109" i="27"/>
  <c r="AG117" i="9" a="1"/>
  <c r="AG117" i="9" s="1"/>
  <c r="AK111" i="27" s="1"/>
  <c r="BB108" i="27"/>
  <c r="BF108" i="27" s="1"/>
  <c r="BG108" i="27" s="1"/>
  <c r="BW111" i="28" s="1"/>
  <c r="BB107" i="27"/>
  <c r="BF107" i="27" s="1"/>
  <c r="BG107" i="27" s="1"/>
  <c r="BW110" i="28" s="1"/>
  <c r="H274" i="26" a="1"/>
  <c r="H274" i="26" s="1"/>
  <c r="T274" i="26" s="1"/>
  <c r="G274" i="26" a="1"/>
  <c r="G274" i="26" s="1"/>
  <c r="K274" i="26" a="1"/>
  <c r="K274" i="26" s="1"/>
  <c r="W274" i="26" s="1"/>
  <c r="J274" i="26" a="1"/>
  <c r="J274" i="26" s="1"/>
  <c r="V274" i="26" s="1"/>
  <c r="F274" i="26" a="1"/>
  <c r="F274" i="26" s="1"/>
  <c r="M274" i="26" a="1"/>
  <c r="M274" i="26" s="1"/>
  <c r="L274" i="26" a="1"/>
  <c r="L274" i="26" s="1"/>
  <c r="X274" i="26" s="1"/>
  <c r="I274" i="26" a="1"/>
  <c r="I274" i="26" s="1"/>
  <c r="U274" i="26" s="1"/>
  <c r="Q114" i="28" a="1"/>
  <c r="Q114" i="28" s="1"/>
  <c r="O114" i="28" a="1"/>
  <c r="O114" i="28" s="1"/>
  <c r="CC114" i="28"/>
  <c r="W114" i="28" a="1"/>
  <c r="W114" i="28" s="1"/>
  <c r="S114" i="28" a="1"/>
  <c r="S114" i="28" s="1"/>
  <c r="U114" i="28" a="1"/>
  <c r="U114" i="28" s="1"/>
  <c r="AO109" i="27"/>
  <c r="W110" i="27"/>
  <c r="T110" i="27"/>
  <c r="H110" i="27"/>
  <c r="I109" i="27"/>
  <c r="Y109" i="27"/>
  <c r="G109" i="27" s="1"/>
  <c r="J115" i="9" s="1"/>
  <c r="M274" i="39" a="1"/>
  <c r="M274" i="39" s="1"/>
  <c r="J274" i="39" a="1"/>
  <c r="J274" i="39" s="1"/>
  <c r="I274" i="39" a="1"/>
  <c r="I274" i="39" s="1"/>
  <c r="L274" i="39" a="1"/>
  <c r="L274" i="39" s="1"/>
  <c r="H274" i="39" a="1"/>
  <c r="H274" i="39" s="1"/>
  <c r="K274" i="39" a="1"/>
  <c r="K274" i="39" s="1"/>
  <c r="F274" i="39" a="1"/>
  <c r="F274" i="39" s="1"/>
  <c r="G274" i="39" a="1"/>
  <c r="G274" i="39" s="1"/>
  <c r="Y113" i="28"/>
  <c r="AD113" i="28" s="1"/>
  <c r="BG113" i="28" s="1"/>
  <c r="X113" i="28"/>
  <c r="AC113" i="28" s="1"/>
  <c r="BF113" i="28" s="1"/>
  <c r="AA113" i="28"/>
  <c r="AF113" i="28" s="1"/>
  <c r="AR108" i="27"/>
  <c r="AS108" i="27" s="1"/>
  <c r="AT108" i="27" s="1"/>
  <c r="I114" i="9"/>
  <c r="F109" i="27"/>
  <c r="AU109" i="27"/>
  <c r="AE110" i="27"/>
  <c r="AC110" i="27" s="1"/>
  <c r="AB110" i="27"/>
  <c r="AW110" i="27" s="1"/>
  <c r="AF110" i="27"/>
  <c r="AI110" i="27"/>
  <c r="AG110" i="27" s="1"/>
  <c r="C275" i="39"/>
  <c r="G118" i="9" a="1"/>
  <c r="G118" i="9" s="1"/>
  <c r="J115" i="28" s="1"/>
  <c r="AF118" i="9"/>
  <c r="AD118" i="9"/>
  <c r="K118" i="9"/>
  <c r="C119" i="9"/>
  <c r="F118" i="9"/>
  <c r="C275" i="26"/>
  <c r="E112" i="27"/>
  <c r="AM118" i="9"/>
  <c r="AK119" i="9" s="1"/>
  <c r="AL118" i="9"/>
  <c r="D118" i="9"/>
  <c r="A118" i="9" s="1"/>
  <c r="BI112" i="28"/>
  <c r="BH112" i="28"/>
  <c r="BA111" i="27"/>
  <c r="BE111" i="27" s="1"/>
  <c r="AH111" i="27"/>
  <c r="AP111" i="27"/>
  <c r="AY111" i="27"/>
  <c r="BC111" i="27" s="1"/>
  <c r="D111" i="27"/>
  <c r="Z111" i="27"/>
  <c r="V111" i="27"/>
  <c r="Q111" i="27"/>
  <c r="S111" i="27" s="1"/>
  <c r="AZ111" i="27"/>
  <c r="BD111" i="27" s="1"/>
  <c r="AD111" i="27"/>
  <c r="P111" i="27"/>
  <c r="R111" i="27" s="1"/>
  <c r="AW116" i="9"/>
  <c r="AX116" i="9"/>
  <c r="AT117" i="9"/>
  <c r="AH117" i="9"/>
  <c r="AI117" i="9" s="1"/>
  <c r="H114" i="28"/>
  <c r="BK114" i="28" s="1"/>
  <c r="AU117" i="9"/>
  <c r="AL111" i="27"/>
  <c r="AA110" i="27"/>
  <c r="Y110" i="27" s="1"/>
  <c r="X110" i="27"/>
  <c r="AV110" i="27" s="1"/>
  <c r="AH114" i="28"/>
  <c r="AP114" i="28"/>
  <c r="AR114" i="28"/>
  <c r="BV114" i="28"/>
  <c r="AS114" i="28"/>
  <c r="BQ114" i="28"/>
  <c r="BB114" i="28"/>
  <c r="AI114" i="28"/>
  <c r="AU114" i="28"/>
  <c r="BR114" i="28"/>
  <c r="AM114" i="28"/>
  <c r="AN114" i="28"/>
  <c r="BN113" i="28"/>
  <c r="AY114" i="28"/>
  <c r="BO114" i="28"/>
  <c r="AX114" i="28"/>
  <c r="AZ114" i="28"/>
  <c r="AJ114" i="28"/>
  <c r="BA114" i="28"/>
  <c r="BC114" i="28"/>
  <c r="AK114" i="28"/>
  <c r="BS114" i="28"/>
  <c r="BU114" i="28"/>
  <c r="BT114" i="28"/>
  <c r="AV114" i="28"/>
  <c r="BJ114" i="28"/>
  <c r="BP114" i="28"/>
  <c r="BD114" i="28"/>
  <c r="AL114" i="28"/>
  <c r="AQ114" i="28"/>
  <c r="AT114" i="28"/>
  <c r="AO108" i="27"/>
  <c r="Y274" i="26" l="1"/>
  <c r="AK274" i="26" s="1"/>
  <c r="AG118" i="9" a="1"/>
  <c r="AG118" i="9" s="1"/>
  <c r="AK112" i="27" s="1"/>
  <c r="AE117" i="9"/>
  <c r="AJ111" i="27" s="1"/>
  <c r="AM111" i="27" s="1"/>
  <c r="AN111" i="27" s="1"/>
  <c r="N274" i="39"/>
  <c r="O274" i="39" s="1"/>
  <c r="L117" i="9" s="1"/>
  <c r="K114" i="28" s="1"/>
  <c r="M114" i="9"/>
  <c r="M111" i="28" s="1"/>
  <c r="AT115" i="28"/>
  <c r="AU115" i="28"/>
  <c r="AI115" i="28"/>
  <c r="AL115" i="28"/>
  <c r="BQ115" i="28"/>
  <c r="AY115" i="28"/>
  <c r="AS115" i="28"/>
  <c r="BB115" i="28"/>
  <c r="BS115" i="28"/>
  <c r="BC115" i="28"/>
  <c r="BR115" i="28"/>
  <c r="AP115" i="28"/>
  <c r="AM115" i="28"/>
  <c r="AR115" i="28"/>
  <c r="AJ115" i="28"/>
  <c r="AH115" i="28"/>
  <c r="BV115" i="28"/>
  <c r="BP115" i="28"/>
  <c r="BO115" i="28"/>
  <c r="BN114" i="28"/>
  <c r="AX115" i="28"/>
  <c r="BA115" i="28"/>
  <c r="AN115" i="28"/>
  <c r="AZ115" i="28"/>
  <c r="AK115" i="28"/>
  <c r="BU115" i="28"/>
  <c r="AV115" i="28"/>
  <c r="BD115" i="28"/>
  <c r="AQ115" i="28"/>
  <c r="BT115" i="28"/>
  <c r="BJ115" i="28"/>
  <c r="X114" i="28"/>
  <c r="AC114" i="28" s="1"/>
  <c r="BF114" i="28" s="1"/>
  <c r="AA114" i="28"/>
  <c r="AF114" i="28" s="1"/>
  <c r="Y114" i="28"/>
  <c r="AD114" i="28" s="1"/>
  <c r="BG114" i="28" s="1"/>
  <c r="BH113" i="28"/>
  <c r="BI113" i="28"/>
  <c r="AI111" i="27"/>
  <c r="AG111" i="27"/>
  <c r="AF111" i="27"/>
  <c r="AA111" i="27"/>
  <c r="X111" i="27"/>
  <c r="AV111" i="27" s="1"/>
  <c r="AU110" i="27"/>
  <c r="F110" i="27"/>
  <c r="AO110" i="27" s="1"/>
  <c r="I275" i="39" a="1"/>
  <c r="I275" i="39" s="1"/>
  <c r="L275" i="39" a="1"/>
  <c r="L275" i="39" s="1"/>
  <c r="M275" i="39" a="1"/>
  <c r="M275" i="39" s="1"/>
  <c r="H275" i="39" a="1"/>
  <c r="H275" i="39" s="1"/>
  <c r="K275" i="39" a="1"/>
  <c r="K275" i="39" s="1"/>
  <c r="J275" i="39" a="1"/>
  <c r="J275" i="39" s="1"/>
  <c r="F275" i="39" a="1"/>
  <c r="F275" i="39" s="1"/>
  <c r="G275" i="39" a="1"/>
  <c r="G275" i="39" s="1"/>
  <c r="I110" i="27"/>
  <c r="U110" i="27"/>
  <c r="G110" i="27" s="1"/>
  <c r="J116" i="9" s="1"/>
  <c r="AE111" i="27"/>
  <c r="AC111" i="27" s="1"/>
  <c r="AB111" i="27"/>
  <c r="AW111" i="27" s="1"/>
  <c r="W111" i="27"/>
  <c r="U111" i="27" s="1"/>
  <c r="T111" i="27"/>
  <c r="H111" i="27"/>
  <c r="U115" i="28" a="1"/>
  <c r="U115" i="28" s="1"/>
  <c r="W115" i="28" a="1"/>
  <c r="W115" i="28" s="1"/>
  <c r="Q115" i="28" a="1"/>
  <c r="Q115" i="28" s="1"/>
  <c r="O115" i="28" a="1"/>
  <c r="O115" i="28" s="1"/>
  <c r="CC115" i="28"/>
  <c r="S115" i="28" a="1"/>
  <c r="S115" i="28" s="1"/>
  <c r="AW117" i="9"/>
  <c r="AX117" i="9"/>
  <c r="G275" i="26" a="1"/>
  <c r="G275" i="26" s="1"/>
  <c r="I275" i="26" a="1"/>
  <c r="I275" i="26" s="1"/>
  <c r="U275" i="26" s="1"/>
  <c r="F275" i="26" a="1"/>
  <c r="F275" i="26" s="1"/>
  <c r="J275" i="26" a="1"/>
  <c r="J275" i="26" s="1"/>
  <c r="V275" i="26" s="1"/>
  <c r="K275" i="26" a="1"/>
  <c r="K275" i="26" s="1"/>
  <c r="W275" i="26" s="1"/>
  <c r="L275" i="26" a="1"/>
  <c r="L275" i="26" s="1"/>
  <c r="X275" i="26" s="1"/>
  <c r="M275" i="26" a="1"/>
  <c r="M275" i="26" s="1"/>
  <c r="H275" i="26" a="1"/>
  <c r="H275" i="26" s="1"/>
  <c r="T275" i="26" s="1"/>
  <c r="AJ119" i="9"/>
  <c r="AU118" i="9"/>
  <c r="AH118" i="9"/>
  <c r="AI118" i="9" s="1"/>
  <c r="H115" i="28"/>
  <c r="BK115" i="28" s="1"/>
  <c r="AT118" i="9"/>
  <c r="AL112" i="27"/>
  <c r="AX110" i="27"/>
  <c r="AP112" i="27"/>
  <c r="Z112" i="27"/>
  <c r="AH112" i="27"/>
  <c r="D112" i="27"/>
  <c r="AY112" i="27"/>
  <c r="BC112" i="27" s="1"/>
  <c r="AZ112" i="27"/>
  <c r="BD112" i="27" s="1"/>
  <c r="V112" i="27"/>
  <c r="BA112" i="27"/>
  <c r="BE112" i="27" s="1"/>
  <c r="AD112" i="27"/>
  <c r="Q112" i="27"/>
  <c r="S112" i="27" s="1"/>
  <c r="P112" i="27"/>
  <c r="R112" i="27" s="1"/>
  <c r="C276" i="39"/>
  <c r="E113" i="27"/>
  <c r="AF119" i="9"/>
  <c r="AD119" i="9"/>
  <c r="K119" i="9"/>
  <c r="C120" i="9"/>
  <c r="C276" i="26"/>
  <c r="F119" i="9"/>
  <c r="G119" i="9" a="1"/>
  <c r="G119" i="9" s="1"/>
  <c r="J116" i="28" s="1"/>
  <c r="AM119" i="9"/>
  <c r="AK120" i="9" s="1"/>
  <c r="D119" i="9"/>
  <c r="A119" i="9" s="1"/>
  <c r="AL119" i="9"/>
  <c r="I115" i="9"/>
  <c r="AR109" i="27"/>
  <c r="AS109" i="27" s="1"/>
  <c r="AT109" i="27" s="1"/>
  <c r="Y275" i="26" l="1"/>
  <c r="AK275" i="26" s="1"/>
  <c r="AE118" i="9"/>
  <c r="AJ112" i="27" s="1"/>
  <c r="AX111" i="27"/>
  <c r="M115" i="9"/>
  <c r="M112" i="28" s="1"/>
  <c r="N275" i="39"/>
  <c r="O275" i="39" s="1"/>
  <c r="L118" i="9" s="1"/>
  <c r="K115" i="28" s="1"/>
  <c r="AG119" i="9" a="1"/>
  <c r="AG119" i="9" s="1"/>
  <c r="AE119" i="9" s="1"/>
  <c r="AJ113" i="27" s="1"/>
  <c r="AM112" i="27"/>
  <c r="AN112" i="27" s="1"/>
  <c r="AJ120" i="9"/>
  <c r="I111" i="27"/>
  <c r="Y111" i="27"/>
  <c r="G111" i="27" s="1"/>
  <c r="J117" i="9" s="1"/>
  <c r="K276" i="26" a="1"/>
  <c r="K276" i="26" s="1"/>
  <c r="W276" i="26" s="1"/>
  <c r="L276" i="26" a="1"/>
  <c r="L276" i="26" s="1"/>
  <c r="X276" i="26" s="1"/>
  <c r="F276" i="26" a="1"/>
  <c r="F276" i="26" s="1"/>
  <c r="I276" i="26" a="1"/>
  <c r="I276" i="26" s="1"/>
  <c r="U276" i="26" s="1"/>
  <c r="G276" i="26" a="1"/>
  <c r="G276" i="26" s="1"/>
  <c r="H276" i="26" a="1"/>
  <c r="H276" i="26" s="1"/>
  <c r="T276" i="26" s="1"/>
  <c r="M276" i="26" a="1"/>
  <c r="M276" i="26" s="1"/>
  <c r="J276" i="26" a="1"/>
  <c r="J276" i="26" s="1"/>
  <c r="V276" i="26" s="1"/>
  <c r="I116" i="9"/>
  <c r="AR110" i="27"/>
  <c r="AS110" i="27" s="1"/>
  <c r="AT110" i="27" s="1"/>
  <c r="AU119" i="9"/>
  <c r="AT119" i="9"/>
  <c r="AL113" i="27"/>
  <c r="AH119" i="9"/>
  <c r="AI119" i="9" s="1"/>
  <c r="H116" i="28"/>
  <c r="BK116" i="28" s="1"/>
  <c r="AY116" i="28"/>
  <c r="BB116" i="28"/>
  <c r="AQ116" i="28"/>
  <c r="BT116" i="28"/>
  <c r="BN115" i="28"/>
  <c r="BA116" i="28"/>
  <c r="BQ116" i="28"/>
  <c r="AR116" i="28"/>
  <c r="AS116" i="28"/>
  <c r="AZ116" i="28"/>
  <c r="BO116" i="28"/>
  <c r="AH116" i="28"/>
  <c r="BV116" i="28"/>
  <c r="AT116" i="28"/>
  <c r="BC116" i="28"/>
  <c r="BR116" i="28"/>
  <c r="BP116" i="28"/>
  <c r="AL116" i="28"/>
  <c r="AX116" i="28"/>
  <c r="AV116" i="28"/>
  <c r="AM116" i="28"/>
  <c r="BD116" i="28"/>
  <c r="AU116" i="28"/>
  <c r="AN116" i="28"/>
  <c r="AJ116" i="28"/>
  <c r="BS116" i="28"/>
  <c r="AI116" i="28"/>
  <c r="AP116" i="28"/>
  <c r="BU116" i="28"/>
  <c r="AK116" i="28"/>
  <c r="BJ116" i="28"/>
  <c r="S116" i="28" a="1"/>
  <c r="S116" i="28" s="1"/>
  <c r="U116" i="28" a="1"/>
  <c r="U116" i="28" s="1"/>
  <c r="CC116" i="28"/>
  <c r="Q116" i="28" a="1"/>
  <c r="Q116" i="28" s="1"/>
  <c r="O116" i="28" a="1"/>
  <c r="O116" i="28" s="1"/>
  <c r="W116" i="28" a="1"/>
  <c r="W116" i="28" s="1"/>
  <c r="D113" i="27"/>
  <c r="AZ113" i="27"/>
  <c r="BD113" i="27" s="1"/>
  <c r="Q113" i="27"/>
  <c r="S113" i="27" s="1"/>
  <c r="AP113" i="27"/>
  <c r="AY113" i="27"/>
  <c r="BC113" i="27" s="1"/>
  <c r="BA113" i="27"/>
  <c r="BE113" i="27" s="1"/>
  <c r="AH113" i="27"/>
  <c r="Z113" i="27"/>
  <c r="AD113" i="27"/>
  <c r="V113" i="27"/>
  <c r="P113" i="27"/>
  <c r="R113" i="27" s="1"/>
  <c r="AE112" i="27"/>
  <c r="AC112" i="27" s="1"/>
  <c r="AB112" i="27"/>
  <c r="AW112" i="27" s="1"/>
  <c r="T112" i="27"/>
  <c r="W112" i="27"/>
  <c r="H112" i="27"/>
  <c r="J276" i="39" a="1"/>
  <c r="J276" i="39" s="1"/>
  <c r="M276" i="39" a="1"/>
  <c r="M276" i="39" s="1"/>
  <c r="L276" i="39" a="1"/>
  <c r="L276" i="39" s="1"/>
  <c r="K276" i="39" a="1"/>
  <c r="K276" i="39" s="1"/>
  <c r="I276" i="39" a="1"/>
  <c r="I276" i="39" s="1"/>
  <c r="H276" i="39" a="1"/>
  <c r="H276" i="39" s="1"/>
  <c r="F276" i="39" a="1"/>
  <c r="F276" i="39" s="1"/>
  <c r="G276" i="39" a="1"/>
  <c r="G276" i="39" s="1"/>
  <c r="AU111" i="27"/>
  <c r="F111" i="27"/>
  <c r="C277" i="39"/>
  <c r="AF120" i="9"/>
  <c r="AD120" i="9"/>
  <c r="F120" i="9"/>
  <c r="G120" i="9" a="1"/>
  <c r="G120" i="9" s="1"/>
  <c r="J117" i="28" s="1"/>
  <c r="E114" i="27"/>
  <c r="C277" i="26"/>
  <c r="K120" i="9"/>
  <c r="C121" i="9"/>
  <c r="AM120" i="9"/>
  <c r="AK121" i="9" s="1"/>
  <c r="D120" i="9"/>
  <c r="A120" i="9" s="1"/>
  <c r="AL120" i="9"/>
  <c r="AA115" i="28"/>
  <c r="AF115" i="28" s="1"/>
  <c r="X115" i="28"/>
  <c r="AC115" i="28" s="1"/>
  <c r="BF115" i="28" s="1"/>
  <c r="Y115" i="28"/>
  <c r="AD115" i="28" s="1"/>
  <c r="BG115" i="28" s="1"/>
  <c r="BB110" i="27"/>
  <c r="BF110" i="27" s="1"/>
  <c r="BG110" i="27" s="1"/>
  <c r="BW113" i="28" s="1"/>
  <c r="BB109" i="27"/>
  <c r="BF109" i="27" s="1"/>
  <c r="BG109" i="27" s="1"/>
  <c r="BW112" i="28" s="1"/>
  <c r="AF112" i="27"/>
  <c r="AI112" i="27"/>
  <c r="AG112" i="27" s="1"/>
  <c r="BH114" i="28"/>
  <c r="BI114" i="28"/>
  <c r="AA112" i="27"/>
  <c r="Y112" i="27" s="1"/>
  <c r="X112" i="27"/>
  <c r="AV112" i="27" s="1"/>
  <c r="AW118" i="9"/>
  <c r="AX118" i="9"/>
  <c r="Y276" i="26" l="1"/>
  <c r="AK276" i="26" s="1"/>
  <c r="N276" i="39"/>
  <c r="O276" i="39" s="1"/>
  <c r="L119" i="9" s="1"/>
  <c r="K116" i="28" s="1"/>
  <c r="M116" i="9"/>
  <c r="M113" i="28" s="1"/>
  <c r="AK113" i="27"/>
  <c r="AM113" i="27" s="1"/>
  <c r="AN113" i="27" s="1"/>
  <c r="AG120" i="9" a="1"/>
  <c r="AG120" i="9" s="1"/>
  <c r="AE120" i="9" s="1"/>
  <c r="AJ114" i="27" s="1"/>
  <c r="BI115" i="28"/>
  <c r="BH115" i="28"/>
  <c r="AA113" i="27"/>
  <c r="Y113" i="27" s="1"/>
  <c r="X113" i="27"/>
  <c r="AV113" i="27" s="1"/>
  <c r="AI113" i="27"/>
  <c r="AG113" i="27"/>
  <c r="AF113" i="27"/>
  <c r="Y116" i="28"/>
  <c r="AD116" i="28" s="1"/>
  <c r="BG116" i="28" s="1"/>
  <c r="AT117" i="28"/>
  <c r="AY117" i="28"/>
  <c r="AK117" i="28"/>
  <c r="BC117" i="28"/>
  <c r="BN116" i="28"/>
  <c r="AP117" i="28"/>
  <c r="AS117" i="28"/>
  <c r="AL117" i="28"/>
  <c r="AH117" i="28"/>
  <c r="AJ117" i="28"/>
  <c r="BO117" i="28"/>
  <c r="AM117" i="28"/>
  <c r="BP117" i="28"/>
  <c r="BV117" i="28"/>
  <c r="AQ117" i="28"/>
  <c r="BS117" i="28"/>
  <c r="AN117" i="28"/>
  <c r="AI117" i="28"/>
  <c r="BD117" i="28"/>
  <c r="AZ117" i="28"/>
  <c r="AV117" i="28"/>
  <c r="BB117" i="28"/>
  <c r="BQ117" i="28"/>
  <c r="AR117" i="28"/>
  <c r="BR117" i="28"/>
  <c r="AX117" i="28"/>
  <c r="AU117" i="28"/>
  <c r="BA117" i="28"/>
  <c r="BU117" i="28"/>
  <c r="BJ117" i="28"/>
  <c r="BT117" i="28"/>
  <c r="AR111" i="27"/>
  <c r="AS111" i="27" s="1"/>
  <c r="AT111" i="27" s="1"/>
  <c r="I117" i="9"/>
  <c r="AO111" i="27"/>
  <c r="AE113" i="27"/>
  <c r="AC113" i="27" s="1"/>
  <c r="AB113" i="27"/>
  <c r="AW113" i="27" s="1"/>
  <c r="Q114" i="27"/>
  <c r="S114" i="27" s="1"/>
  <c r="AY114" i="27"/>
  <c r="BC114" i="27" s="1"/>
  <c r="BA114" i="27"/>
  <c r="BE114" i="27" s="1"/>
  <c r="D114" i="27"/>
  <c r="AD114" i="27"/>
  <c r="AH114" i="27"/>
  <c r="AP114" i="27"/>
  <c r="V114" i="27"/>
  <c r="AZ114" i="27"/>
  <c r="BD114" i="27" s="1"/>
  <c r="Z114" i="27"/>
  <c r="P114" i="27"/>
  <c r="R114" i="27" s="1"/>
  <c r="AJ121" i="9"/>
  <c r="U112" i="27"/>
  <c r="G112" i="27" s="1"/>
  <c r="J118" i="9" s="1"/>
  <c r="I112" i="27"/>
  <c r="F112" i="27"/>
  <c r="AU112" i="27"/>
  <c r="W113" i="27"/>
  <c r="T113" i="27"/>
  <c r="H113" i="27"/>
  <c r="AU120" i="9"/>
  <c r="H117" i="28"/>
  <c r="AH120" i="9"/>
  <c r="AI120" i="9" s="1"/>
  <c r="AL114" i="27"/>
  <c r="AT120" i="9"/>
  <c r="C278" i="39"/>
  <c r="F121" i="9"/>
  <c r="C278" i="26"/>
  <c r="AF121" i="9"/>
  <c r="AD121" i="9"/>
  <c r="K121" i="9"/>
  <c r="C122" i="9"/>
  <c r="E115" i="27"/>
  <c r="G121" i="9" a="1"/>
  <c r="G121" i="9" s="1"/>
  <c r="J118" i="28" s="1"/>
  <c r="AM121" i="9"/>
  <c r="AK122" i="9" s="1"/>
  <c r="AL121" i="9"/>
  <c r="D121" i="9"/>
  <c r="A121" i="9" s="1"/>
  <c r="L277" i="26" a="1"/>
  <c r="L277" i="26" s="1"/>
  <c r="X277" i="26" s="1"/>
  <c r="I277" i="26" a="1"/>
  <c r="I277" i="26" s="1"/>
  <c r="U277" i="26" s="1"/>
  <c r="F277" i="26" a="1"/>
  <c r="F277" i="26" s="1"/>
  <c r="K277" i="26" a="1"/>
  <c r="K277" i="26" s="1"/>
  <c r="W277" i="26" s="1"/>
  <c r="G277" i="26" a="1"/>
  <c r="G277" i="26" s="1"/>
  <c r="H277" i="26" a="1"/>
  <c r="H277" i="26" s="1"/>
  <c r="T277" i="26" s="1"/>
  <c r="M277" i="26" a="1"/>
  <c r="M277" i="26" s="1"/>
  <c r="J277" i="26" a="1"/>
  <c r="J277" i="26" s="1"/>
  <c r="V277" i="26" s="1"/>
  <c r="AW119" i="9"/>
  <c r="AX119" i="9"/>
  <c r="AX112" i="27"/>
  <c r="O117" i="28" a="1"/>
  <c r="O117" i="28" s="1"/>
  <c r="S117" i="28" a="1"/>
  <c r="S117" i="28" s="1"/>
  <c r="CC117" i="28"/>
  <c r="U117" i="28" a="1"/>
  <c r="U117" i="28" s="1"/>
  <c r="Q117" i="28" a="1"/>
  <c r="Q117" i="28" s="1"/>
  <c r="W117" i="28" a="1"/>
  <c r="W117" i="28" s="1"/>
  <c r="X116" i="28"/>
  <c r="AC116" i="28" s="1"/>
  <c r="BF116" i="28" s="1"/>
  <c r="AA116" i="28"/>
  <c r="AF116" i="28" s="1"/>
  <c r="L277" i="39" a="1"/>
  <c r="L277" i="39" s="1"/>
  <c r="K277" i="39" a="1"/>
  <c r="K277" i="39" s="1"/>
  <c r="M277" i="39" a="1"/>
  <c r="M277" i="39" s="1"/>
  <c r="I277" i="39" a="1"/>
  <c r="I277" i="39" s="1"/>
  <c r="H277" i="39" a="1"/>
  <c r="H277" i="39" s="1"/>
  <c r="J277" i="39" a="1"/>
  <c r="J277" i="39" s="1"/>
  <c r="F277" i="39" a="1"/>
  <c r="F277" i="39" s="1"/>
  <c r="G277" i="39" a="1"/>
  <c r="G277" i="39" s="1"/>
  <c r="Y277" i="26" l="1"/>
  <c r="AK277" i="26" s="1"/>
  <c r="AK114" i="27"/>
  <c r="AM114" i="27" s="1"/>
  <c r="AN114" i="27" s="1"/>
  <c r="AX113" i="27"/>
  <c r="N277" i="39"/>
  <c r="O277" i="39" s="1"/>
  <c r="L120" i="9" s="1"/>
  <c r="K117" i="28" s="1"/>
  <c r="M117" i="9"/>
  <c r="M114" i="28" s="1"/>
  <c r="X117" i="28"/>
  <c r="AC117" i="28" s="1"/>
  <c r="BF117" i="28" s="1"/>
  <c r="AL115" i="27"/>
  <c r="AU121" i="9"/>
  <c r="AH121" i="9"/>
  <c r="AI121" i="9" s="1"/>
  <c r="H118" i="28"/>
  <c r="BK118" i="28" s="1"/>
  <c r="AT121" i="9"/>
  <c r="AF114" i="27"/>
  <c r="AI114" i="27"/>
  <c r="AG114" i="27"/>
  <c r="AD115" i="27"/>
  <c r="AP115" i="27"/>
  <c r="V115" i="27"/>
  <c r="AH115" i="27"/>
  <c r="Z115" i="27"/>
  <c r="D115" i="27"/>
  <c r="AZ115" i="27"/>
  <c r="BD115" i="27" s="1"/>
  <c r="BA115" i="27"/>
  <c r="BE115" i="27" s="1"/>
  <c r="AY115" i="27"/>
  <c r="BC115" i="27" s="1"/>
  <c r="Q115" i="27"/>
  <c r="S115" i="27" s="1"/>
  <c r="P115" i="27"/>
  <c r="R115" i="27" s="1"/>
  <c r="U113" i="27"/>
  <c r="G113" i="27" s="1"/>
  <c r="J119" i="9" s="1"/>
  <c r="I113" i="27"/>
  <c r="C279" i="39"/>
  <c r="F122" i="9"/>
  <c r="G122" i="9" a="1"/>
  <c r="G122" i="9" s="1"/>
  <c r="J119" i="28" s="1"/>
  <c r="AD122" i="9"/>
  <c r="AF122" i="9"/>
  <c r="K122" i="9"/>
  <c r="C123" i="9"/>
  <c r="E116" i="27"/>
  <c r="C279" i="26"/>
  <c r="AM122" i="9"/>
  <c r="AK123" i="9" s="1"/>
  <c r="D122" i="9"/>
  <c r="A122" i="9" s="1"/>
  <c r="AL122" i="9"/>
  <c r="I118" i="9"/>
  <c r="AR112" i="27"/>
  <c r="AS112" i="27" s="1"/>
  <c r="AT112" i="27" s="1"/>
  <c r="AO112" i="27"/>
  <c r="AG121" i="9" a="1"/>
  <c r="AG121" i="9" s="1"/>
  <c r="X114" i="27"/>
  <c r="AV114" i="27" s="1"/>
  <c r="AA114" i="27"/>
  <c r="AE114" i="27"/>
  <c r="AC114" i="27" s="1"/>
  <c r="AB114" i="27"/>
  <c r="AW114" i="27" s="1"/>
  <c r="AM118" i="28"/>
  <c r="AQ118" i="28"/>
  <c r="AL118" i="28"/>
  <c r="BB118" i="28"/>
  <c r="AJ118" i="28"/>
  <c r="AX118" i="28"/>
  <c r="BQ118" i="28"/>
  <c r="BT118" i="28"/>
  <c r="BN117" i="28"/>
  <c r="BU118" i="28"/>
  <c r="AK118" i="28"/>
  <c r="BV118" i="28"/>
  <c r="AS118" i="28"/>
  <c r="BS118" i="28"/>
  <c r="AH118" i="28"/>
  <c r="AR118" i="28"/>
  <c r="AI118" i="28"/>
  <c r="AP118" i="28"/>
  <c r="AN118" i="28"/>
  <c r="BR118" i="28"/>
  <c r="BO118" i="28"/>
  <c r="BA118" i="28"/>
  <c r="AZ118" i="28"/>
  <c r="BJ118" i="28"/>
  <c r="AV118" i="28"/>
  <c r="BD118" i="28"/>
  <c r="AT118" i="28"/>
  <c r="AU118" i="28"/>
  <c r="BP118" i="28"/>
  <c r="BC118" i="28"/>
  <c r="AY118" i="28"/>
  <c r="BH116" i="28"/>
  <c r="BI116" i="28"/>
  <c r="S118" i="28" a="1"/>
  <c r="S118" i="28" s="1"/>
  <c r="CC118" i="28"/>
  <c r="W118" i="28" a="1"/>
  <c r="W118" i="28" s="1"/>
  <c r="U118" i="28" a="1"/>
  <c r="U118" i="28" s="1"/>
  <c r="Q118" i="28" a="1"/>
  <c r="Q118" i="28" s="1"/>
  <c r="O118" i="28" a="1"/>
  <c r="O118" i="28" s="1"/>
  <c r="I278" i="39" a="1"/>
  <c r="I278" i="39" s="1"/>
  <c r="J278" i="39" a="1"/>
  <c r="J278" i="39" s="1"/>
  <c r="L278" i="39" a="1"/>
  <c r="L278" i="39" s="1"/>
  <c r="H278" i="39" a="1"/>
  <c r="H278" i="39" s="1"/>
  <c r="K278" i="39" a="1"/>
  <c r="K278" i="39" s="1"/>
  <c r="M278" i="39" a="1"/>
  <c r="M278" i="39" s="1"/>
  <c r="F278" i="39" a="1"/>
  <c r="F278" i="39" s="1"/>
  <c r="G278" i="39" a="1"/>
  <c r="G278" i="39" s="1"/>
  <c r="W114" i="27"/>
  <c r="U114" i="27" s="1"/>
  <c r="T114" i="27"/>
  <c r="H114" i="27"/>
  <c r="BK117" i="28"/>
  <c r="G278" i="26" a="1"/>
  <c r="G278" i="26" s="1"/>
  <c r="F278" i="26" a="1"/>
  <c r="F278" i="26" s="1"/>
  <c r="K278" i="26" a="1"/>
  <c r="K278" i="26" s="1"/>
  <c r="W278" i="26" s="1"/>
  <c r="I278" i="26" a="1"/>
  <c r="I278" i="26" s="1"/>
  <c r="U278" i="26" s="1"/>
  <c r="J278" i="26" a="1"/>
  <c r="J278" i="26" s="1"/>
  <c r="V278" i="26" s="1"/>
  <c r="M278" i="26" a="1"/>
  <c r="M278" i="26" s="1"/>
  <c r="L278" i="26" a="1"/>
  <c r="L278" i="26" s="1"/>
  <c r="X278" i="26" s="1"/>
  <c r="H278" i="26" a="1"/>
  <c r="H278" i="26" s="1"/>
  <c r="T278" i="26" s="1"/>
  <c r="BB112" i="27"/>
  <c r="BF112" i="27" s="1"/>
  <c r="BG112" i="27" s="1"/>
  <c r="BW115" i="28" s="1"/>
  <c r="BB111" i="27"/>
  <c r="BF111" i="27" s="1"/>
  <c r="BG111" i="27" s="1"/>
  <c r="BW114" i="28" s="1"/>
  <c r="AW120" i="9"/>
  <c r="AX120" i="9"/>
  <c r="F113" i="27"/>
  <c r="AO113" i="27" s="1"/>
  <c r="AU113" i="27"/>
  <c r="AA117" i="28"/>
  <c r="AF117" i="28" s="1"/>
  <c r="Y117" i="28"/>
  <c r="AD117" i="28" s="1"/>
  <c r="BG117" i="28" s="1"/>
  <c r="AJ122" i="9"/>
  <c r="AJ123" i="9" l="1"/>
  <c r="Y278" i="26"/>
  <c r="AK278" i="26" s="1"/>
  <c r="N278" i="39"/>
  <c r="O278" i="39" s="1"/>
  <c r="L121" i="9" s="1"/>
  <c r="K118" i="28" s="1"/>
  <c r="M118" i="9"/>
  <c r="M115" i="28" s="1"/>
  <c r="AA115" i="27"/>
  <c r="Y115" i="27" s="1"/>
  <c r="X115" i="27"/>
  <c r="AV115" i="27" s="1"/>
  <c r="H115" i="27"/>
  <c r="T115" i="27"/>
  <c r="W115" i="27"/>
  <c r="AE121" i="9"/>
  <c r="AJ115" i="27" s="1"/>
  <c r="AK115" i="27"/>
  <c r="L279" i="39" a="1"/>
  <c r="L279" i="39" s="1"/>
  <c r="K279" i="39" a="1"/>
  <c r="K279" i="39" s="1"/>
  <c r="J279" i="39" a="1"/>
  <c r="J279" i="39" s="1"/>
  <c r="H279" i="39" a="1"/>
  <c r="H279" i="39" s="1"/>
  <c r="I279" i="39" a="1"/>
  <c r="I279" i="39" s="1"/>
  <c r="M279" i="39" a="1"/>
  <c r="M279" i="39" s="1"/>
  <c r="F279" i="39" a="1"/>
  <c r="F279" i="39" s="1"/>
  <c r="G279" i="39" a="1"/>
  <c r="G279" i="39" s="1"/>
  <c r="AX114" i="27"/>
  <c r="AL116" i="27"/>
  <c r="AH122" i="9"/>
  <c r="AI122" i="9" s="1"/>
  <c r="AT122" i="9"/>
  <c r="H119" i="28"/>
  <c r="BK119" i="28" s="1"/>
  <c r="AU122" i="9"/>
  <c r="I114" i="27"/>
  <c r="Y114" i="27"/>
  <c r="G114" i="27" s="1"/>
  <c r="J120" i="9" s="1"/>
  <c r="AX121" i="9"/>
  <c r="AW121" i="9"/>
  <c r="Y118" i="28"/>
  <c r="AD118" i="28" s="1"/>
  <c r="BG118" i="28" s="1"/>
  <c r="AA118" i="28"/>
  <c r="AF118" i="28" s="1"/>
  <c r="X118" i="28"/>
  <c r="AC118" i="28" s="1"/>
  <c r="BF118" i="28" s="1"/>
  <c r="F279" i="26" a="1"/>
  <c r="F279" i="26" s="1"/>
  <c r="G279" i="26" a="1"/>
  <c r="G279" i="26" s="1"/>
  <c r="L279" i="26" a="1"/>
  <c r="L279" i="26" s="1"/>
  <c r="X279" i="26" s="1"/>
  <c r="J279" i="26" a="1"/>
  <c r="J279" i="26" s="1"/>
  <c r="V279" i="26" s="1"/>
  <c r="M279" i="26" a="1"/>
  <c r="M279" i="26" s="1"/>
  <c r="K279" i="26" a="1"/>
  <c r="K279" i="26" s="1"/>
  <c r="W279" i="26" s="1"/>
  <c r="I279" i="26" a="1"/>
  <c r="I279" i="26" s="1"/>
  <c r="U279" i="26" s="1"/>
  <c r="H279" i="26" a="1"/>
  <c r="H279" i="26" s="1"/>
  <c r="T279" i="26" s="1"/>
  <c r="AN119" i="28"/>
  <c r="AL119" i="28"/>
  <c r="AM119" i="28"/>
  <c r="AQ119" i="28"/>
  <c r="AR119" i="28"/>
  <c r="AH119" i="28"/>
  <c r="AZ119" i="28"/>
  <c r="BA119" i="28"/>
  <c r="BN118" i="28"/>
  <c r="AX119" i="28"/>
  <c r="BR119" i="28"/>
  <c r="AP119" i="28"/>
  <c r="AJ119" i="28"/>
  <c r="AS119" i="28"/>
  <c r="BT119" i="28"/>
  <c r="AT119" i="28"/>
  <c r="BC119" i="28"/>
  <c r="AU119" i="28"/>
  <c r="BV119" i="28"/>
  <c r="BS119" i="28"/>
  <c r="AI119" i="28"/>
  <c r="BP119" i="28"/>
  <c r="AY119" i="28"/>
  <c r="BO119" i="28"/>
  <c r="AK119" i="28"/>
  <c r="AV119" i="28"/>
  <c r="BD119" i="28"/>
  <c r="BQ119" i="28"/>
  <c r="BB119" i="28"/>
  <c r="BU119" i="28"/>
  <c r="BJ119" i="28"/>
  <c r="AE115" i="27"/>
  <c r="AC115" i="27" s="1"/>
  <c r="AB115" i="27"/>
  <c r="AW115" i="27" s="1"/>
  <c r="BA116" i="27"/>
  <c r="BE116" i="27" s="1"/>
  <c r="AH116" i="27"/>
  <c r="AP116" i="27"/>
  <c r="Q116" i="27"/>
  <c r="S116" i="27" s="1"/>
  <c r="AD116" i="27"/>
  <c r="AZ116" i="27"/>
  <c r="BD116" i="27" s="1"/>
  <c r="V116" i="27"/>
  <c r="Z116" i="27"/>
  <c r="AY116" i="27"/>
  <c r="BC116" i="27" s="1"/>
  <c r="D116" i="27"/>
  <c r="P116" i="27"/>
  <c r="R116" i="27" s="1"/>
  <c r="AF115" i="27"/>
  <c r="AI115" i="27"/>
  <c r="AG115" i="27"/>
  <c r="AR113" i="27"/>
  <c r="AS113" i="27" s="1"/>
  <c r="AT113" i="27" s="1"/>
  <c r="I119" i="9"/>
  <c r="AG122" i="9" a="1"/>
  <c r="AG122" i="9" s="1"/>
  <c r="U119" i="28" a="1"/>
  <c r="U119" i="28" s="1"/>
  <c r="W119" i="28" a="1"/>
  <c r="W119" i="28" s="1"/>
  <c r="O119" i="28" a="1"/>
  <c r="O119" i="28" s="1"/>
  <c r="S119" i="28" a="1"/>
  <c r="S119" i="28" s="1"/>
  <c r="Q119" i="28" a="1"/>
  <c r="Q119" i="28" s="1"/>
  <c r="CC119" i="28"/>
  <c r="AU114" i="27"/>
  <c r="F114" i="27"/>
  <c r="BH117" i="28"/>
  <c r="BI117" i="28"/>
  <c r="C280" i="39"/>
  <c r="C280" i="26"/>
  <c r="F123" i="9"/>
  <c r="G123" i="9" a="1"/>
  <c r="G123" i="9" s="1"/>
  <c r="J120" i="28" s="1"/>
  <c r="E117" i="27"/>
  <c r="K123" i="9"/>
  <c r="C124" i="9"/>
  <c r="AF123" i="9"/>
  <c r="AD123" i="9"/>
  <c r="AM123" i="9"/>
  <c r="AK124" i="9" s="1"/>
  <c r="AL123" i="9"/>
  <c r="D123" i="9"/>
  <c r="A123" i="9" s="1"/>
  <c r="Y279" i="26" l="1"/>
  <c r="AK279" i="26" s="1"/>
  <c r="N279" i="39"/>
  <c r="O279" i="39" s="1"/>
  <c r="L122" i="9" s="1"/>
  <c r="K119" i="28" s="1"/>
  <c r="M119" i="9"/>
  <c r="M116" i="28" s="1"/>
  <c r="AG123" i="9" a="1"/>
  <c r="AG123" i="9" s="1"/>
  <c r="AE123" i="9" s="1"/>
  <c r="AJ117" i="27" s="1"/>
  <c r="AE116" i="27"/>
  <c r="AC116" i="27" s="1"/>
  <c r="AB116" i="27"/>
  <c r="AW116" i="27" s="1"/>
  <c r="AE122" i="9"/>
  <c r="AJ116" i="27" s="1"/>
  <c r="AK116" i="27"/>
  <c r="BR120" i="28"/>
  <c r="AH120" i="28"/>
  <c r="AJ120" i="28"/>
  <c r="AR120" i="28"/>
  <c r="AN120" i="28"/>
  <c r="AV120" i="28"/>
  <c r="BD120" i="28"/>
  <c r="BQ120" i="28"/>
  <c r="AU120" i="28"/>
  <c r="BV120" i="28"/>
  <c r="AT120" i="28"/>
  <c r="BP120" i="28"/>
  <c r="AY120" i="28"/>
  <c r="BB120" i="28"/>
  <c r="BU120" i="28"/>
  <c r="BN119" i="28"/>
  <c r="BA120" i="28"/>
  <c r="BS120" i="28"/>
  <c r="AQ120" i="28"/>
  <c r="BO120" i="28"/>
  <c r="BC120" i="28"/>
  <c r="AK120" i="28"/>
  <c r="AX120" i="28"/>
  <c r="AP120" i="28"/>
  <c r="AZ120" i="28"/>
  <c r="AL120" i="28"/>
  <c r="BT120" i="28"/>
  <c r="AM120" i="28"/>
  <c r="AI120" i="28"/>
  <c r="AS120" i="28"/>
  <c r="BJ120" i="28"/>
  <c r="AM115" i="27"/>
  <c r="AN115" i="27" s="1"/>
  <c r="U115" i="27"/>
  <c r="G115" i="27" s="1"/>
  <c r="J121" i="9" s="1"/>
  <c r="I115" i="27"/>
  <c r="J280" i="39" a="1"/>
  <c r="J280" i="39" s="1"/>
  <c r="M280" i="39" a="1"/>
  <c r="M280" i="39" s="1"/>
  <c r="L280" i="39" a="1"/>
  <c r="L280" i="39" s="1"/>
  <c r="I280" i="39" a="1"/>
  <c r="I280" i="39" s="1"/>
  <c r="H280" i="39" a="1"/>
  <c r="H280" i="39" s="1"/>
  <c r="K280" i="39" a="1"/>
  <c r="K280" i="39" s="1"/>
  <c r="F280" i="39" a="1"/>
  <c r="F280" i="39" s="1"/>
  <c r="G280" i="39" a="1"/>
  <c r="G280" i="39" s="1"/>
  <c r="AH117" i="27"/>
  <c r="AP117" i="27"/>
  <c r="D117" i="27"/>
  <c r="Z117" i="27"/>
  <c r="V117" i="27"/>
  <c r="AY117" i="27"/>
  <c r="BC117" i="27" s="1"/>
  <c r="AZ117" i="27"/>
  <c r="BD117" i="27" s="1"/>
  <c r="AD117" i="27"/>
  <c r="Q117" i="27"/>
  <c r="S117" i="27" s="1"/>
  <c r="BA117" i="27"/>
  <c r="BE117" i="27" s="1"/>
  <c r="P117" i="27"/>
  <c r="R117" i="27" s="1"/>
  <c r="AF116" i="27"/>
  <c r="AI116" i="27"/>
  <c r="AG116" i="27" s="1"/>
  <c r="T116" i="27"/>
  <c r="H116" i="27"/>
  <c r="W116" i="27"/>
  <c r="Y119" i="28"/>
  <c r="AD119" i="28" s="1"/>
  <c r="BG119" i="28" s="1"/>
  <c r="AA119" i="28"/>
  <c r="AF119" i="28" s="1"/>
  <c r="AX122" i="9"/>
  <c r="AW122" i="9"/>
  <c r="AA116" i="27"/>
  <c r="Y116" i="27" s="1"/>
  <c r="X116" i="27"/>
  <c r="AV116" i="27" s="1"/>
  <c r="C281" i="39"/>
  <c r="E118" i="27"/>
  <c r="C125" i="9"/>
  <c r="F124" i="9"/>
  <c r="C281" i="26"/>
  <c r="G124" i="9" a="1"/>
  <c r="G124" i="9" s="1"/>
  <c r="J121" i="28" s="1"/>
  <c r="K124" i="9"/>
  <c r="AD124" i="9"/>
  <c r="AF124" i="9"/>
  <c r="AM124" i="9"/>
  <c r="AK125" i="9" s="1"/>
  <c r="AL124" i="9"/>
  <c r="D124" i="9"/>
  <c r="A124" i="9" s="1"/>
  <c r="F280" i="26" a="1"/>
  <c r="F280" i="26" s="1"/>
  <c r="J280" i="26" a="1"/>
  <c r="J280" i="26" s="1"/>
  <c r="V280" i="26" s="1"/>
  <c r="K280" i="26" a="1"/>
  <c r="K280" i="26" s="1"/>
  <c r="W280" i="26" s="1"/>
  <c r="I280" i="26" a="1"/>
  <c r="I280" i="26" s="1"/>
  <c r="U280" i="26" s="1"/>
  <c r="H280" i="26" a="1"/>
  <c r="H280" i="26" s="1"/>
  <c r="T280" i="26" s="1"/>
  <c r="G280" i="26" a="1"/>
  <c r="G280" i="26" s="1"/>
  <c r="L280" i="26" a="1"/>
  <c r="L280" i="26" s="1"/>
  <c r="X280" i="26" s="1"/>
  <c r="M280" i="26" a="1"/>
  <c r="M280" i="26" s="1"/>
  <c r="F115" i="27"/>
  <c r="AU115" i="27"/>
  <c r="AX115" i="27"/>
  <c r="AJ124" i="9"/>
  <c r="BB113" i="27"/>
  <c r="BF113" i="27" s="1"/>
  <c r="BG113" i="27" s="1"/>
  <c r="BW116" i="28" s="1"/>
  <c r="S120" i="28" a="1"/>
  <c r="S120" i="28" s="1"/>
  <c r="U120" i="28" a="1"/>
  <c r="U120" i="28" s="1"/>
  <c r="Q120" i="28" a="1"/>
  <c r="Q120" i="28" s="1"/>
  <c r="O120" i="28" a="1"/>
  <c r="O120" i="28" s="1"/>
  <c r="CC120" i="28"/>
  <c r="W120" i="28" a="1"/>
  <c r="W120" i="28" s="1"/>
  <c r="X119" i="28"/>
  <c r="AC119" i="28" s="1"/>
  <c r="BF119" i="28" s="1"/>
  <c r="AL117" i="27"/>
  <c r="AT123" i="9"/>
  <c r="H120" i="28"/>
  <c r="AH123" i="9"/>
  <c r="AI123" i="9" s="1"/>
  <c r="AU123" i="9"/>
  <c r="AR114" i="27"/>
  <c r="AS114" i="27" s="1"/>
  <c r="AT114" i="27" s="1"/>
  <c r="I120" i="9"/>
  <c r="AO114" i="27"/>
  <c r="BH118" i="28"/>
  <c r="BI118" i="28"/>
  <c r="Y280" i="26" l="1"/>
  <c r="AK280" i="26" s="1"/>
  <c r="AJ125" i="9"/>
  <c r="AK117" i="27"/>
  <c r="AM117" i="27" s="1"/>
  <c r="AN117" i="27" s="1"/>
  <c r="M120" i="9"/>
  <c r="M117" i="28" s="1"/>
  <c r="N280" i="39"/>
  <c r="O280" i="39" s="1"/>
  <c r="L123" i="9" s="1"/>
  <c r="K120" i="28" s="1"/>
  <c r="AA120" i="28"/>
  <c r="AF120" i="28" s="1"/>
  <c r="BH120" i="28" s="1"/>
  <c r="I121" i="9"/>
  <c r="AR115" i="27"/>
  <c r="AS115" i="27" s="1"/>
  <c r="AT115" i="27" s="1"/>
  <c r="W117" i="27"/>
  <c r="T117" i="27"/>
  <c r="H117" i="27"/>
  <c r="AA117" i="27"/>
  <c r="Y117" i="27" s="1"/>
  <c r="X117" i="27"/>
  <c r="AV117" i="27" s="1"/>
  <c r="AG124" i="9" a="1"/>
  <c r="AG124" i="9" s="1"/>
  <c r="BH119" i="28"/>
  <c r="BI119" i="28"/>
  <c r="J281" i="26" a="1"/>
  <c r="J281" i="26" s="1"/>
  <c r="V281" i="26" s="1"/>
  <c r="K281" i="26" a="1"/>
  <c r="K281" i="26" s="1"/>
  <c r="W281" i="26" s="1"/>
  <c r="I281" i="26" a="1"/>
  <c r="I281" i="26" s="1"/>
  <c r="U281" i="26" s="1"/>
  <c r="F281" i="26" a="1"/>
  <c r="F281" i="26" s="1"/>
  <c r="G281" i="26" a="1"/>
  <c r="G281" i="26" s="1"/>
  <c r="M281" i="26" a="1"/>
  <c r="M281" i="26" s="1"/>
  <c r="L281" i="26" a="1"/>
  <c r="L281" i="26" s="1"/>
  <c r="X281" i="26" s="1"/>
  <c r="H281" i="26" a="1"/>
  <c r="H281" i="26" s="1"/>
  <c r="T281" i="26" s="1"/>
  <c r="AI117" i="27"/>
  <c r="AG117" i="27"/>
  <c r="AF117" i="27"/>
  <c r="AM116" i="27"/>
  <c r="AN116" i="27" s="1"/>
  <c r="L281" i="39" a="1"/>
  <c r="L281" i="39" s="1"/>
  <c r="K281" i="39" a="1"/>
  <c r="K281" i="39" s="1"/>
  <c r="J281" i="39" a="1"/>
  <c r="J281" i="39" s="1"/>
  <c r="I281" i="39" a="1"/>
  <c r="I281" i="39" s="1"/>
  <c r="M281" i="39" a="1"/>
  <c r="M281" i="39" s="1"/>
  <c r="H281" i="39" a="1"/>
  <c r="H281" i="39" s="1"/>
  <c r="F281" i="39" a="1"/>
  <c r="F281" i="39" s="1"/>
  <c r="G281" i="39" a="1"/>
  <c r="G281" i="39" s="1"/>
  <c r="F116" i="27"/>
  <c r="AU116" i="27"/>
  <c r="AE117" i="27"/>
  <c r="AC117" i="27" s="1"/>
  <c r="AB117" i="27"/>
  <c r="AW117" i="27" s="1"/>
  <c r="C282" i="39"/>
  <c r="F125" i="9"/>
  <c r="AF125" i="9"/>
  <c r="AD125" i="9"/>
  <c r="C282" i="26"/>
  <c r="K125" i="9"/>
  <c r="C126" i="9"/>
  <c r="E119" i="27"/>
  <c r="G125" i="9" a="1"/>
  <c r="G125" i="9" s="1"/>
  <c r="J122" i="28" s="1"/>
  <c r="AM125" i="9"/>
  <c r="AK126" i="9" s="1"/>
  <c r="D125" i="9"/>
  <c r="A125" i="9" s="1"/>
  <c r="AL125" i="9"/>
  <c r="AO115" i="27"/>
  <c r="AX123" i="9"/>
  <c r="AW123" i="9"/>
  <c r="Q118" i="27"/>
  <c r="S118" i="27" s="1"/>
  <c r="V118" i="27"/>
  <c r="AY118" i="27"/>
  <c r="BC118" i="27" s="1"/>
  <c r="BA118" i="27"/>
  <c r="BE118" i="27" s="1"/>
  <c r="AH118" i="27"/>
  <c r="AZ118" i="27"/>
  <c r="BD118" i="27" s="1"/>
  <c r="AD118" i="27"/>
  <c r="D118" i="27"/>
  <c r="AP118" i="27"/>
  <c r="Z118" i="27"/>
  <c r="P118" i="27"/>
  <c r="R118" i="27" s="1"/>
  <c r="AH124" i="9"/>
  <c r="AI124" i="9" s="1"/>
  <c r="AL118" i="27"/>
  <c r="AU124" i="9"/>
  <c r="AT124" i="9"/>
  <c r="H121" i="28"/>
  <c r="BK121" i="28" s="1"/>
  <c r="X120" i="28"/>
  <c r="AC120" i="28" s="1"/>
  <c r="BF120" i="28" s="1"/>
  <c r="Y120" i="28"/>
  <c r="AD120" i="28" s="1"/>
  <c r="BG120" i="28" s="1"/>
  <c r="BK120" i="28"/>
  <c r="AT121" i="28"/>
  <c r="AN121" i="28"/>
  <c r="BC121" i="28"/>
  <c r="BP121" i="28"/>
  <c r="BA121" i="28"/>
  <c r="BT121" i="28"/>
  <c r="BQ121" i="28"/>
  <c r="BN120" i="28"/>
  <c r="BR121" i="28"/>
  <c r="AY121" i="28"/>
  <c r="AZ121" i="28"/>
  <c r="AH121" i="28"/>
  <c r="AS121" i="28"/>
  <c r="AP121" i="28"/>
  <c r="BS121" i="28"/>
  <c r="AI121" i="28"/>
  <c r="BO121" i="28"/>
  <c r="AM121" i="28"/>
  <c r="BV121" i="28"/>
  <c r="AK121" i="28"/>
  <c r="AQ121" i="28"/>
  <c r="AR121" i="28"/>
  <c r="AV121" i="28"/>
  <c r="AL121" i="28"/>
  <c r="BD121" i="28"/>
  <c r="BU121" i="28"/>
  <c r="AX121" i="28"/>
  <c r="AJ121" i="28"/>
  <c r="BB121" i="28"/>
  <c r="AU121" i="28"/>
  <c r="BJ121" i="28"/>
  <c r="I116" i="27"/>
  <c r="U116" i="27"/>
  <c r="G116" i="27" s="1"/>
  <c r="J122" i="9" s="1"/>
  <c r="BB114" i="27"/>
  <c r="BF114" i="27" s="1"/>
  <c r="BG114" i="27" s="1"/>
  <c r="BW117" i="28" s="1"/>
  <c r="Q121" i="28" a="1"/>
  <c r="Q121" i="28" s="1"/>
  <c r="CC121" i="28"/>
  <c r="O121" i="28" a="1"/>
  <c r="O121" i="28" s="1"/>
  <c r="S121" i="28" a="1"/>
  <c r="S121" i="28" s="1"/>
  <c r="W121" i="28" a="1"/>
  <c r="W121" i="28" s="1"/>
  <c r="U121" i="28" a="1"/>
  <c r="U121" i="28" s="1"/>
  <c r="AX116" i="27"/>
  <c r="BB115" i="27" s="1"/>
  <c r="BF115" i="27" s="1"/>
  <c r="BG115" i="27" s="1"/>
  <c r="BW118" i="28" s="1"/>
  <c r="AJ126" i="9" l="1"/>
  <c r="Y281" i="26"/>
  <c r="AK281" i="26" s="1"/>
  <c r="AG125" i="9" a="1"/>
  <c r="AG125" i="9" s="1"/>
  <c r="M121" i="9"/>
  <c r="M118" i="28" s="1"/>
  <c r="N281" i="39"/>
  <c r="O281" i="39" s="1"/>
  <c r="L124" i="9" s="1"/>
  <c r="K121" i="28" s="1"/>
  <c r="BI120" i="28"/>
  <c r="AX117" i="27"/>
  <c r="BB116" i="27" s="1"/>
  <c r="BF116" i="27" s="1"/>
  <c r="BG116" i="27" s="1"/>
  <c r="BW119" i="28" s="1"/>
  <c r="AU125" i="9"/>
  <c r="AH125" i="9"/>
  <c r="AI125" i="9" s="1"/>
  <c r="AT125" i="9"/>
  <c r="AL119" i="27"/>
  <c r="H122" i="28"/>
  <c r="BK122" i="28" s="1"/>
  <c r="BT122" i="28"/>
  <c r="AN122" i="28"/>
  <c r="AQ122" i="28"/>
  <c r="AT122" i="28"/>
  <c r="AU122" i="28"/>
  <c r="BC122" i="28"/>
  <c r="AP122" i="28"/>
  <c r="BO122" i="28"/>
  <c r="AK122" i="28"/>
  <c r="AJ122" i="28"/>
  <c r="BR122" i="28"/>
  <c r="AX122" i="28"/>
  <c r="BA122" i="28"/>
  <c r="AZ122" i="28"/>
  <c r="BS122" i="28"/>
  <c r="BV122" i="28"/>
  <c r="AR122" i="28"/>
  <c r="BQ122" i="28"/>
  <c r="AS122" i="28"/>
  <c r="BN121" i="28"/>
  <c r="BB122" i="28"/>
  <c r="AV122" i="28"/>
  <c r="BD122" i="28"/>
  <c r="AL122" i="28"/>
  <c r="AI122" i="28"/>
  <c r="AM122" i="28"/>
  <c r="BU122" i="28"/>
  <c r="BP122" i="28"/>
  <c r="AY122" i="28"/>
  <c r="AH122" i="28"/>
  <c r="BJ122" i="28"/>
  <c r="V119" i="27"/>
  <c r="AD119" i="27"/>
  <c r="BA119" i="27"/>
  <c r="BE119" i="27" s="1"/>
  <c r="AH119" i="27"/>
  <c r="D119" i="27"/>
  <c r="Q119" i="27"/>
  <c r="S119" i="27" s="1"/>
  <c r="AZ119" i="27"/>
  <c r="BD119" i="27" s="1"/>
  <c r="AP119" i="27"/>
  <c r="AY119" i="27"/>
  <c r="BC119" i="27" s="1"/>
  <c r="Z119" i="27"/>
  <c r="P119" i="27"/>
  <c r="R119" i="27" s="1"/>
  <c r="AF118" i="27"/>
  <c r="AI118" i="27"/>
  <c r="AG118" i="27" s="1"/>
  <c r="C283" i="39"/>
  <c r="K126" i="9"/>
  <c r="C127" i="9"/>
  <c r="E120" i="27"/>
  <c r="C283" i="26"/>
  <c r="AD126" i="9"/>
  <c r="AF126" i="9"/>
  <c r="G126" i="9" a="1"/>
  <c r="G126" i="9" s="1"/>
  <c r="J123" i="28" s="1"/>
  <c r="F126" i="9"/>
  <c r="AM126" i="9"/>
  <c r="AK127" i="9" s="1"/>
  <c r="D126" i="9"/>
  <c r="A126" i="9" s="1"/>
  <c r="AL126" i="9"/>
  <c r="U117" i="27"/>
  <c r="G117" i="27" s="1"/>
  <c r="J123" i="9" s="1"/>
  <c r="I117" i="27"/>
  <c r="J282" i="39" a="1"/>
  <c r="J282" i="39" s="1"/>
  <c r="M282" i="39" a="1"/>
  <c r="M282" i="39" s="1"/>
  <c r="I282" i="39" a="1"/>
  <c r="I282" i="39" s="1"/>
  <c r="H282" i="39" a="1"/>
  <c r="H282" i="39" s="1"/>
  <c r="L282" i="39" a="1"/>
  <c r="L282" i="39" s="1"/>
  <c r="K282" i="39" a="1"/>
  <c r="K282" i="39" s="1"/>
  <c r="F282" i="39" a="1"/>
  <c r="F282" i="39" s="1"/>
  <c r="G282" i="39" a="1"/>
  <c r="G282" i="39" s="1"/>
  <c r="W122" i="28" a="1"/>
  <c r="W122" i="28" s="1"/>
  <c r="Q122" i="28" a="1"/>
  <c r="Q122" i="28" s="1"/>
  <c r="CC122" i="28"/>
  <c r="S122" i="28" a="1"/>
  <c r="S122" i="28" s="1"/>
  <c r="O122" i="28" a="1"/>
  <c r="O122" i="28" s="1"/>
  <c r="U122" i="28" a="1"/>
  <c r="U122" i="28" s="1"/>
  <c r="K282" i="26" a="1"/>
  <c r="K282" i="26" s="1"/>
  <c r="W282" i="26" s="1"/>
  <c r="F282" i="26" a="1"/>
  <c r="F282" i="26" s="1"/>
  <c r="I282" i="26" a="1"/>
  <c r="I282" i="26" s="1"/>
  <c r="U282" i="26" s="1"/>
  <c r="J282" i="26" a="1"/>
  <c r="J282" i="26" s="1"/>
  <c r="V282" i="26" s="1"/>
  <c r="G282" i="26" a="1"/>
  <c r="G282" i="26" s="1"/>
  <c r="H282" i="26" a="1"/>
  <c r="H282" i="26" s="1"/>
  <c r="T282" i="26" s="1"/>
  <c r="M282" i="26" a="1"/>
  <c r="M282" i="26" s="1"/>
  <c r="L282" i="26" a="1"/>
  <c r="L282" i="26" s="1"/>
  <c r="X282" i="26" s="1"/>
  <c r="X121" i="28"/>
  <c r="AC121" i="28" s="1"/>
  <c r="BF121" i="28" s="1"/>
  <c r="AA121" i="28"/>
  <c r="AF121" i="28" s="1"/>
  <c r="Y121" i="28"/>
  <c r="AD121" i="28" s="1"/>
  <c r="BG121" i="28" s="1"/>
  <c r="AA118" i="27"/>
  <c r="Y118" i="27" s="1"/>
  <c r="X118" i="27"/>
  <c r="AV118" i="27" s="1"/>
  <c r="AK118" i="27"/>
  <c r="AE124" i="9"/>
  <c r="AJ118" i="27" s="1"/>
  <c r="AE118" i="27"/>
  <c r="AC118" i="27" s="1"/>
  <c r="AB118" i="27"/>
  <c r="AW118" i="27" s="1"/>
  <c r="W118" i="27"/>
  <c r="T118" i="27"/>
  <c r="H118" i="27"/>
  <c r="I122" i="9"/>
  <c r="AR116" i="27"/>
  <c r="AS116" i="27" s="1"/>
  <c r="AT116" i="27" s="1"/>
  <c r="F117" i="27"/>
  <c r="AO117" i="27" s="1"/>
  <c r="AU117" i="27"/>
  <c r="AK119" i="27"/>
  <c r="AE125" i="9"/>
  <c r="AJ119" i="27" s="1"/>
  <c r="AX124" i="9"/>
  <c r="AW124" i="9"/>
  <c r="AO116" i="27"/>
  <c r="Y282" i="26" l="1"/>
  <c r="AK282" i="26" s="1"/>
  <c r="AM119" i="27"/>
  <c r="AN119" i="27" s="1"/>
  <c r="AM118" i="27"/>
  <c r="AN118" i="27" s="1"/>
  <c r="N282" i="39"/>
  <c r="O282" i="39" s="1"/>
  <c r="L125" i="9" s="1"/>
  <c r="K122" i="28" s="1"/>
  <c r="M122" i="9"/>
  <c r="M119" i="28" s="1"/>
  <c r="AJ127" i="9"/>
  <c r="AI119" i="27"/>
  <c r="AF119" i="27"/>
  <c r="AG119" i="27"/>
  <c r="C284" i="39"/>
  <c r="C284" i="26"/>
  <c r="AF127" i="9"/>
  <c r="K127" i="9"/>
  <c r="F127" i="9"/>
  <c r="C128" i="9"/>
  <c r="E121" i="27"/>
  <c r="G127" i="9" a="1"/>
  <c r="G127" i="9" s="1"/>
  <c r="J124" i="28" s="1"/>
  <c r="AD127" i="9"/>
  <c r="AM127" i="9"/>
  <c r="AK128" i="9" s="1"/>
  <c r="AL127" i="9"/>
  <c r="D127" i="9"/>
  <c r="A127" i="9" s="1"/>
  <c r="H123" i="28"/>
  <c r="BK123" i="28" s="1"/>
  <c r="AH126" i="9"/>
  <c r="AI126" i="9" s="1"/>
  <c r="AL120" i="27"/>
  <c r="AU126" i="9"/>
  <c r="AT126" i="9"/>
  <c r="F283" i="26" a="1"/>
  <c r="F283" i="26" s="1"/>
  <c r="K283" i="26" a="1"/>
  <c r="K283" i="26" s="1"/>
  <c r="W283" i="26" s="1"/>
  <c r="L283" i="26" a="1"/>
  <c r="L283" i="26" s="1"/>
  <c r="X283" i="26" s="1"/>
  <c r="J283" i="26" a="1"/>
  <c r="J283" i="26" s="1"/>
  <c r="V283" i="26" s="1"/>
  <c r="G283" i="26" a="1"/>
  <c r="G283" i="26" s="1"/>
  <c r="M283" i="26" a="1"/>
  <c r="M283" i="26" s="1"/>
  <c r="H283" i="26" a="1"/>
  <c r="H283" i="26" s="1"/>
  <c r="T283" i="26" s="1"/>
  <c r="I283" i="26" a="1"/>
  <c r="I283" i="26" s="1"/>
  <c r="U283" i="26" s="1"/>
  <c r="BH121" i="28"/>
  <c r="BI121" i="28"/>
  <c r="AX118" i="27"/>
  <c r="F118" i="27"/>
  <c r="AU118" i="27"/>
  <c r="AX125" i="9"/>
  <c r="AW125" i="9"/>
  <c r="X122" i="28"/>
  <c r="AC122" i="28" s="1"/>
  <c r="BF122" i="28" s="1"/>
  <c r="AL123" i="28"/>
  <c r="BB123" i="28"/>
  <c r="AN123" i="28"/>
  <c r="BU123" i="28"/>
  <c r="BN122" i="28"/>
  <c r="BR123" i="28"/>
  <c r="AJ123" i="28"/>
  <c r="BO123" i="28"/>
  <c r="BP123" i="28"/>
  <c r="AX123" i="28"/>
  <c r="BS123" i="28"/>
  <c r="AP123" i="28"/>
  <c r="AY123" i="28"/>
  <c r="BV123" i="28"/>
  <c r="AI123" i="28"/>
  <c r="BQ123" i="28"/>
  <c r="BT123" i="28"/>
  <c r="BC123" i="28"/>
  <c r="AZ123" i="28"/>
  <c r="BA123" i="28"/>
  <c r="AH123" i="28"/>
  <c r="AR123" i="28"/>
  <c r="BD123" i="28"/>
  <c r="AV123" i="28"/>
  <c r="AT123" i="28"/>
  <c r="AQ123" i="28"/>
  <c r="AM123" i="28"/>
  <c r="AS123" i="28"/>
  <c r="AK123" i="28"/>
  <c r="AU123" i="28"/>
  <c r="BJ123" i="28"/>
  <c r="AZ120" i="27"/>
  <c r="BD120" i="27" s="1"/>
  <c r="V120" i="27"/>
  <c r="AY120" i="27"/>
  <c r="BC120" i="27" s="1"/>
  <c r="D120" i="27"/>
  <c r="AH120" i="27"/>
  <c r="Q120" i="27"/>
  <c r="S120" i="27" s="1"/>
  <c r="AD120" i="27"/>
  <c r="AP120" i="27"/>
  <c r="Z120" i="27"/>
  <c r="BA120" i="27"/>
  <c r="BE120" i="27" s="1"/>
  <c r="P120" i="27"/>
  <c r="R120" i="27" s="1"/>
  <c r="AE119" i="27"/>
  <c r="AC119" i="27" s="1"/>
  <c r="AB119" i="27"/>
  <c r="AW119" i="27" s="1"/>
  <c r="I283" i="39" a="1"/>
  <c r="I283" i="39" s="1"/>
  <c r="M283" i="39" a="1"/>
  <c r="M283" i="39" s="1"/>
  <c r="J283" i="39" a="1"/>
  <c r="J283" i="39" s="1"/>
  <c r="L283" i="39" a="1"/>
  <c r="L283" i="39" s="1"/>
  <c r="K283" i="39" a="1"/>
  <c r="K283" i="39" s="1"/>
  <c r="H283" i="39" a="1"/>
  <c r="H283" i="39" s="1"/>
  <c r="F283" i="39" a="1"/>
  <c r="F283" i="39" s="1"/>
  <c r="G283" i="39" a="1"/>
  <c r="G283" i="39" s="1"/>
  <c r="U118" i="27"/>
  <c r="G118" i="27" s="1"/>
  <c r="J124" i="9" s="1"/>
  <c r="I118" i="27"/>
  <c r="X119" i="27"/>
  <c r="AV119" i="27" s="1"/>
  <c r="AA119" i="27"/>
  <c r="Y119" i="27" s="1"/>
  <c r="Q123" i="28" a="1"/>
  <c r="Q123" i="28" s="1"/>
  <c r="W123" i="28" a="1"/>
  <c r="W123" i="28" s="1"/>
  <c r="CC123" i="28"/>
  <c r="U123" i="28" a="1"/>
  <c r="U123" i="28" s="1"/>
  <c r="O123" i="28" a="1"/>
  <c r="O123" i="28" s="1"/>
  <c r="S123" i="28" a="1"/>
  <c r="S123" i="28" s="1"/>
  <c r="T119" i="27"/>
  <c r="H119" i="27"/>
  <c r="W119" i="27"/>
  <c r="I123" i="9"/>
  <c r="AR117" i="27"/>
  <c r="AS117" i="27" s="1"/>
  <c r="AT117" i="27" s="1"/>
  <c r="AA122" i="28"/>
  <c r="AF122" i="28" s="1"/>
  <c r="Y122" i="28"/>
  <c r="AD122" i="28" s="1"/>
  <c r="BG122" i="28" s="1"/>
  <c r="AG126" i="9" a="1"/>
  <c r="AG126" i="9" s="1"/>
  <c r="Y283" i="26" l="1"/>
  <c r="AK283" i="26" s="1"/>
  <c r="AO118" i="27"/>
  <c r="AG127" i="9" a="1"/>
  <c r="AG127" i="9" s="1"/>
  <c r="AK121" i="27" s="1"/>
  <c r="N283" i="39"/>
  <c r="O283" i="39" s="1"/>
  <c r="L126" i="9" s="1"/>
  <c r="K123" i="28" s="1"/>
  <c r="M123" i="9"/>
  <c r="M120" i="28" s="1"/>
  <c r="AE126" i="9"/>
  <c r="AJ120" i="27" s="1"/>
  <c r="AK120" i="27"/>
  <c r="U119" i="27"/>
  <c r="G119" i="27" s="1"/>
  <c r="J125" i="9" s="1"/>
  <c r="I119" i="27"/>
  <c r="AW126" i="9"/>
  <c r="AX126" i="9"/>
  <c r="H284" i="39" a="1"/>
  <c r="H284" i="39" s="1"/>
  <c r="L284" i="39" a="1"/>
  <c r="L284" i="39" s="1"/>
  <c r="I284" i="39" a="1"/>
  <c r="I284" i="39" s="1"/>
  <c r="M284" i="39" a="1"/>
  <c r="M284" i="39" s="1"/>
  <c r="J284" i="39" a="1"/>
  <c r="J284" i="39" s="1"/>
  <c r="K284" i="39" a="1"/>
  <c r="K284" i="39" s="1"/>
  <c r="F284" i="39" a="1"/>
  <c r="F284" i="39" s="1"/>
  <c r="G284" i="39" a="1"/>
  <c r="G284" i="39" s="1"/>
  <c r="I124" i="9"/>
  <c r="AR118" i="27"/>
  <c r="AS118" i="27" s="1"/>
  <c r="AT118" i="27" s="1"/>
  <c r="AD121" i="27"/>
  <c r="AH121" i="27"/>
  <c r="Q121" i="27"/>
  <c r="S121" i="27" s="1"/>
  <c r="AY121" i="27"/>
  <c r="BC121" i="27" s="1"/>
  <c r="Z121" i="27"/>
  <c r="D121" i="27"/>
  <c r="BA121" i="27"/>
  <c r="BE121" i="27" s="1"/>
  <c r="AZ121" i="27"/>
  <c r="BD121" i="27" s="1"/>
  <c r="V121" i="27"/>
  <c r="AP121" i="27"/>
  <c r="P121" i="27"/>
  <c r="R121" i="27" s="1"/>
  <c r="X123" i="28"/>
  <c r="AC123" i="28" s="1"/>
  <c r="BF123" i="28" s="1"/>
  <c r="AA123" i="28"/>
  <c r="AF123" i="28" s="1"/>
  <c r="Y123" i="28"/>
  <c r="AD123" i="28" s="1"/>
  <c r="BG123" i="28" s="1"/>
  <c r="AX119" i="27"/>
  <c r="BB118" i="27" s="1"/>
  <c r="BF118" i="27" s="1"/>
  <c r="BG118" i="27" s="1"/>
  <c r="BW121" i="28" s="1"/>
  <c r="CC124" i="28"/>
  <c r="S124" i="28" a="1"/>
  <c r="S124" i="28" s="1"/>
  <c r="Q124" i="28" a="1"/>
  <c r="Q124" i="28" s="1"/>
  <c r="W124" i="28" a="1"/>
  <c r="W124" i="28" s="1"/>
  <c r="U124" i="28" a="1"/>
  <c r="U124" i="28" s="1"/>
  <c r="O124" i="28" a="1"/>
  <c r="O124" i="28" s="1"/>
  <c r="AI120" i="27"/>
  <c r="AG120" i="27" s="1"/>
  <c r="AF120" i="27"/>
  <c r="T120" i="27"/>
  <c r="W120" i="27"/>
  <c r="H120" i="27"/>
  <c r="L284" i="26" a="1"/>
  <c r="L284" i="26" s="1"/>
  <c r="X284" i="26" s="1"/>
  <c r="F284" i="26" a="1"/>
  <c r="F284" i="26" s="1"/>
  <c r="J284" i="26" a="1"/>
  <c r="J284" i="26" s="1"/>
  <c r="V284" i="26" s="1"/>
  <c r="K284" i="26" a="1"/>
  <c r="K284" i="26" s="1"/>
  <c r="W284" i="26" s="1"/>
  <c r="G284" i="26" a="1"/>
  <c r="G284" i="26" s="1"/>
  <c r="M284" i="26" a="1"/>
  <c r="M284" i="26" s="1"/>
  <c r="H284" i="26" a="1"/>
  <c r="H284" i="26" s="1"/>
  <c r="T284" i="26" s="1"/>
  <c r="I284" i="26" a="1"/>
  <c r="I284" i="26" s="1"/>
  <c r="U284" i="26" s="1"/>
  <c r="AA120" i="27"/>
  <c r="Y120" i="27" s="1"/>
  <c r="X120" i="27"/>
  <c r="AV120" i="27" s="1"/>
  <c r="BH122" i="28"/>
  <c r="BI122" i="28"/>
  <c r="AL124" i="28"/>
  <c r="AN124" i="28"/>
  <c r="AJ124" i="28"/>
  <c r="AX124" i="28"/>
  <c r="AZ124" i="28"/>
  <c r="BV124" i="28"/>
  <c r="BR124" i="28"/>
  <c r="BU124" i="28"/>
  <c r="BT124" i="28"/>
  <c r="AH124" i="28"/>
  <c r="AK124" i="28"/>
  <c r="BQ124" i="28"/>
  <c r="BA124" i="28"/>
  <c r="BD124" i="28"/>
  <c r="BO124" i="28"/>
  <c r="BS124" i="28"/>
  <c r="AR124" i="28"/>
  <c r="AQ124" i="28"/>
  <c r="AU124" i="28"/>
  <c r="AV124" i="28"/>
  <c r="AM124" i="28"/>
  <c r="BC124" i="28"/>
  <c r="AY124" i="28"/>
  <c r="BB124" i="28"/>
  <c r="AP124" i="28"/>
  <c r="BN123" i="28"/>
  <c r="AT124" i="28"/>
  <c r="AS124" i="28"/>
  <c r="BP124" i="28"/>
  <c r="AI124" i="28"/>
  <c r="BJ124" i="28"/>
  <c r="AE120" i="27"/>
  <c r="AC120" i="27" s="1"/>
  <c r="AB120" i="27"/>
  <c r="AW120" i="27" s="1"/>
  <c r="C285" i="39"/>
  <c r="AD128" i="9"/>
  <c r="E122" i="27"/>
  <c r="C129" i="9"/>
  <c r="K128" i="9"/>
  <c r="C285" i="26"/>
  <c r="G128" i="9" a="1"/>
  <c r="G128" i="9" s="1"/>
  <c r="J125" i="28" s="1"/>
  <c r="F128" i="9"/>
  <c r="AF128" i="9"/>
  <c r="AM128" i="9"/>
  <c r="AK129" i="9" s="1"/>
  <c r="AL128" i="9"/>
  <c r="D128" i="9"/>
  <c r="A128" i="9" s="1"/>
  <c r="BB117" i="27"/>
  <c r="BF117" i="27" s="1"/>
  <c r="BG117" i="27" s="1"/>
  <c r="BW120" i="28" s="1"/>
  <c r="AU119" i="27"/>
  <c r="F119" i="27"/>
  <c r="AO119" i="27" s="1"/>
  <c r="AJ128" i="9"/>
  <c r="AU127" i="9"/>
  <c r="AL121" i="27"/>
  <c r="AT127" i="9"/>
  <c r="AH127" i="9"/>
  <c r="AI127" i="9" s="1"/>
  <c r="H124" i="28"/>
  <c r="BK124" i="28" s="1"/>
  <c r="Y284" i="26" l="1"/>
  <c r="AK284" i="26" s="1"/>
  <c r="AE127" i="9"/>
  <c r="AJ121" i="27" s="1"/>
  <c r="AM121" i="27" s="1"/>
  <c r="AN121" i="27" s="1"/>
  <c r="N284" i="39"/>
  <c r="O284" i="39" s="1"/>
  <c r="L127" i="9" s="1"/>
  <c r="K124" i="28" s="1"/>
  <c r="M124" i="9"/>
  <c r="M121" i="28" s="1"/>
  <c r="AX120" i="27"/>
  <c r="BB119" i="27" s="1"/>
  <c r="BF119" i="27" s="1"/>
  <c r="BG119" i="27" s="1"/>
  <c r="BW122" i="28" s="1"/>
  <c r="AJ129" i="9"/>
  <c r="AG128" i="9" a="1"/>
  <c r="AG128" i="9" s="1"/>
  <c r="AE128" i="9" s="1"/>
  <c r="AJ122" i="27" s="1"/>
  <c r="AD122" i="27"/>
  <c r="D122" i="27"/>
  <c r="BA122" i="27"/>
  <c r="BE122" i="27" s="1"/>
  <c r="Z122" i="27"/>
  <c r="AP122" i="27"/>
  <c r="AY122" i="27"/>
  <c r="BC122" i="27" s="1"/>
  <c r="AH122" i="27"/>
  <c r="Q122" i="27"/>
  <c r="S122" i="27" s="1"/>
  <c r="V122" i="27"/>
  <c r="AZ122" i="27"/>
  <c r="BD122" i="27" s="1"/>
  <c r="P122" i="27"/>
  <c r="R122" i="27" s="1"/>
  <c r="H121" i="27"/>
  <c r="W121" i="27"/>
  <c r="T121" i="27"/>
  <c r="J285" i="39" a="1"/>
  <c r="J285" i="39" s="1"/>
  <c r="H285" i="39" a="1"/>
  <c r="H285" i="39" s="1"/>
  <c r="I285" i="39" a="1"/>
  <c r="I285" i="39" s="1"/>
  <c r="L285" i="39" a="1"/>
  <c r="L285" i="39" s="1"/>
  <c r="M285" i="39" a="1"/>
  <c r="M285" i="39" s="1"/>
  <c r="K285" i="39" a="1"/>
  <c r="K285" i="39" s="1"/>
  <c r="F285" i="39" a="1"/>
  <c r="F285" i="39" s="1"/>
  <c r="G285" i="39" a="1"/>
  <c r="G285" i="39" s="1"/>
  <c r="AA121" i="27"/>
  <c r="Y121" i="27" s="1"/>
  <c r="X121" i="27"/>
  <c r="AV121" i="27" s="1"/>
  <c r="BI123" i="28"/>
  <c r="BH123" i="28"/>
  <c r="H125" i="28"/>
  <c r="AH128" i="9"/>
  <c r="AI128" i="9" s="1"/>
  <c r="AU128" i="9"/>
  <c r="AT128" i="9"/>
  <c r="AL122" i="27"/>
  <c r="AE121" i="27"/>
  <c r="AC121" i="27" s="1"/>
  <c r="AB121" i="27"/>
  <c r="AW121" i="27" s="1"/>
  <c r="AN125" i="28"/>
  <c r="BS125" i="28"/>
  <c r="AK125" i="28"/>
  <c r="AP125" i="28"/>
  <c r="BN124" i="28"/>
  <c r="BR125" i="28"/>
  <c r="AS125" i="28"/>
  <c r="BA125" i="28"/>
  <c r="AI125" i="28"/>
  <c r="BD125" i="28"/>
  <c r="AU125" i="28"/>
  <c r="BO125" i="28"/>
  <c r="BQ125" i="28"/>
  <c r="AR125" i="28"/>
  <c r="AV125" i="28"/>
  <c r="BP125" i="28"/>
  <c r="BB125" i="28"/>
  <c r="AY125" i="28"/>
  <c r="BC125" i="28"/>
  <c r="BJ125" i="28"/>
  <c r="AJ125" i="28"/>
  <c r="AH125" i="28"/>
  <c r="AM125" i="28"/>
  <c r="AL125" i="28"/>
  <c r="AX125" i="28"/>
  <c r="AT125" i="28"/>
  <c r="AZ125" i="28"/>
  <c r="BT125" i="28"/>
  <c r="AQ125" i="28"/>
  <c r="BV125" i="28"/>
  <c r="BU125" i="28"/>
  <c r="C286" i="39"/>
  <c r="E123" i="27"/>
  <c r="F129" i="9"/>
  <c r="AF129" i="9"/>
  <c r="G129" i="9" a="1"/>
  <c r="G129" i="9" s="1"/>
  <c r="J126" i="28" s="1"/>
  <c r="K129" i="9"/>
  <c r="C130" i="9"/>
  <c r="C286" i="26"/>
  <c r="AD129" i="9"/>
  <c r="AM129" i="9"/>
  <c r="AK130" i="9" s="1"/>
  <c r="D129" i="9"/>
  <c r="A129" i="9" s="1"/>
  <c r="AL129" i="9"/>
  <c r="AM120" i="27"/>
  <c r="AN120" i="27" s="1"/>
  <c r="F120" i="27"/>
  <c r="AU120" i="27"/>
  <c r="I125" i="9"/>
  <c r="AR119" i="27"/>
  <c r="AS119" i="27" s="1"/>
  <c r="AT119" i="27" s="1"/>
  <c r="Y124" i="28"/>
  <c r="AD124" i="28" s="1"/>
  <c r="BG124" i="28" s="1"/>
  <c r="X124" i="28"/>
  <c r="AC124" i="28" s="1"/>
  <c r="BF124" i="28" s="1"/>
  <c r="AA124" i="28"/>
  <c r="AF124" i="28" s="1"/>
  <c r="AF121" i="27"/>
  <c r="AI121" i="27"/>
  <c r="AG121" i="27" s="1"/>
  <c r="J285" i="26" a="1"/>
  <c r="J285" i="26" s="1"/>
  <c r="V285" i="26" s="1"/>
  <c r="K285" i="26" a="1"/>
  <c r="K285" i="26" s="1"/>
  <c r="W285" i="26" s="1"/>
  <c r="G285" i="26" a="1"/>
  <c r="G285" i="26" s="1"/>
  <c r="H285" i="26" a="1"/>
  <c r="H285" i="26" s="1"/>
  <c r="T285" i="26" s="1"/>
  <c r="L285" i="26" a="1"/>
  <c r="L285" i="26" s="1"/>
  <c r="X285" i="26" s="1"/>
  <c r="F285" i="26" a="1"/>
  <c r="F285" i="26" s="1"/>
  <c r="I285" i="26" a="1"/>
  <c r="I285" i="26" s="1"/>
  <c r="U285" i="26" s="1"/>
  <c r="M285" i="26" a="1"/>
  <c r="M285" i="26" s="1"/>
  <c r="AW127" i="9"/>
  <c r="AX127" i="9"/>
  <c r="W125" i="28" a="1"/>
  <c r="W125" i="28" s="1"/>
  <c r="U125" i="28" a="1"/>
  <c r="U125" i="28" s="1"/>
  <c r="S125" i="28" a="1"/>
  <c r="S125" i="28" s="1"/>
  <c r="O125" i="28" a="1"/>
  <c r="O125" i="28" s="1"/>
  <c r="CC125" i="28"/>
  <c r="Q125" i="28" a="1"/>
  <c r="Q125" i="28" s="1"/>
  <c r="I120" i="27"/>
  <c r="U120" i="27"/>
  <c r="G120" i="27" s="1"/>
  <c r="J126" i="9" s="1"/>
  <c r="Y285" i="26" l="1"/>
  <c r="AK285" i="26" s="1"/>
  <c r="AK122" i="27"/>
  <c r="AM122" i="27" s="1"/>
  <c r="AN122" i="27" s="1"/>
  <c r="N285" i="39"/>
  <c r="O285" i="39" s="1"/>
  <c r="L128" i="9" s="1"/>
  <c r="K125" i="28" s="1"/>
  <c r="M125" i="9"/>
  <c r="M122" i="28" s="1"/>
  <c r="X125" i="28"/>
  <c r="AC125" i="28" s="1"/>
  <c r="BF125" i="28" s="1"/>
  <c r="AJ130" i="9"/>
  <c r="AN126" i="28"/>
  <c r="BC126" i="28"/>
  <c r="AP126" i="28"/>
  <c r="BS126" i="28"/>
  <c r="AH126" i="28"/>
  <c r="BA126" i="28"/>
  <c r="BN125" i="28"/>
  <c r="BR126" i="28"/>
  <c r="BT126" i="28"/>
  <c r="AT126" i="28"/>
  <c r="AK126" i="28"/>
  <c r="BD126" i="28"/>
  <c r="AJ126" i="28"/>
  <c r="AV126" i="28"/>
  <c r="AQ126" i="28"/>
  <c r="BO126" i="28"/>
  <c r="AZ126" i="28"/>
  <c r="BU126" i="28"/>
  <c r="AX126" i="28"/>
  <c r="AI126" i="28"/>
  <c r="BB126" i="28"/>
  <c r="AR126" i="28"/>
  <c r="AU126" i="28"/>
  <c r="BV126" i="28"/>
  <c r="AY126" i="28"/>
  <c r="AM126" i="28"/>
  <c r="BQ126" i="28"/>
  <c r="BP126" i="28"/>
  <c r="AS126" i="28"/>
  <c r="AL126" i="28"/>
  <c r="BJ126" i="28"/>
  <c r="I126" i="9"/>
  <c r="AR120" i="27"/>
  <c r="AS120" i="27" s="1"/>
  <c r="AT120" i="27" s="1"/>
  <c r="AE122" i="27"/>
  <c r="AC122" i="27" s="1"/>
  <c r="AB122" i="27"/>
  <c r="AW122" i="27" s="1"/>
  <c r="Y125" i="28"/>
  <c r="AD125" i="28" s="1"/>
  <c r="BG125" i="28" s="1"/>
  <c r="AA125" i="28"/>
  <c r="AF125" i="28" s="1"/>
  <c r="AZ123" i="27"/>
  <c r="BD123" i="27" s="1"/>
  <c r="BA123" i="27"/>
  <c r="BE123" i="27" s="1"/>
  <c r="D123" i="27"/>
  <c r="AD123" i="27"/>
  <c r="AY123" i="27"/>
  <c r="BC123" i="27" s="1"/>
  <c r="AP123" i="27"/>
  <c r="Z123" i="27"/>
  <c r="AH123" i="27"/>
  <c r="Q123" i="27"/>
  <c r="S123" i="27" s="1"/>
  <c r="V123" i="27"/>
  <c r="P123" i="27"/>
  <c r="R123" i="27" s="1"/>
  <c r="AF122" i="27"/>
  <c r="AI122" i="27"/>
  <c r="AG122" i="27"/>
  <c r="AX121" i="27"/>
  <c r="F121" i="27"/>
  <c r="AU121" i="27"/>
  <c r="CC126" i="28"/>
  <c r="O126" i="28" a="1"/>
  <c r="O126" i="28" s="1"/>
  <c r="U126" i="28" a="1"/>
  <c r="U126" i="28" s="1"/>
  <c r="S126" i="28" a="1"/>
  <c r="S126" i="28" s="1"/>
  <c r="W126" i="28" a="1"/>
  <c r="W126" i="28" s="1"/>
  <c r="Q126" i="28" a="1"/>
  <c r="Q126" i="28" s="1"/>
  <c r="AA122" i="27"/>
  <c r="Y122" i="27" s="1"/>
  <c r="X122" i="27"/>
  <c r="AV122" i="27" s="1"/>
  <c r="BK125" i="28"/>
  <c r="AH129" i="9"/>
  <c r="AI129" i="9" s="1"/>
  <c r="AT129" i="9"/>
  <c r="AL123" i="27"/>
  <c r="AU129" i="9"/>
  <c r="H126" i="28"/>
  <c r="BK126" i="28" s="1"/>
  <c r="AG129" i="9" a="1"/>
  <c r="AG129" i="9" s="1"/>
  <c r="K286" i="26" a="1"/>
  <c r="K286" i="26" s="1"/>
  <c r="W286" i="26" s="1"/>
  <c r="H286" i="26" a="1"/>
  <c r="H286" i="26" s="1"/>
  <c r="T286" i="26" s="1"/>
  <c r="F286" i="26" a="1"/>
  <c r="F286" i="26" s="1"/>
  <c r="G286" i="26" a="1"/>
  <c r="G286" i="26" s="1"/>
  <c r="L286" i="26" a="1"/>
  <c r="L286" i="26" s="1"/>
  <c r="X286" i="26" s="1"/>
  <c r="M286" i="26" a="1"/>
  <c r="M286" i="26" s="1"/>
  <c r="I286" i="26" a="1"/>
  <c r="I286" i="26" s="1"/>
  <c r="U286" i="26" s="1"/>
  <c r="J286" i="26" a="1"/>
  <c r="J286" i="26" s="1"/>
  <c r="V286" i="26" s="1"/>
  <c r="AX128" i="9"/>
  <c r="AW128" i="9"/>
  <c r="U121" i="27"/>
  <c r="G121" i="27" s="1"/>
  <c r="J127" i="9" s="1"/>
  <c r="I121" i="27"/>
  <c r="W122" i="27"/>
  <c r="H122" i="27"/>
  <c r="T122" i="27"/>
  <c r="M286" i="39" a="1"/>
  <c r="M286" i="39" s="1"/>
  <c r="I286" i="39" a="1"/>
  <c r="I286" i="39" s="1"/>
  <c r="H286" i="39" a="1"/>
  <c r="H286" i="39" s="1"/>
  <c r="K286" i="39" a="1"/>
  <c r="K286" i="39" s="1"/>
  <c r="L286" i="39" a="1"/>
  <c r="L286" i="39" s="1"/>
  <c r="J286" i="39" a="1"/>
  <c r="J286" i="39" s="1"/>
  <c r="F286" i="39" a="1"/>
  <c r="F286" i="39" s="1"/>
  <c r="G286" i="39" a="1"/>
  <c r="G286" i="39" s="1"/>
  <c r="AO120" i="27"/>
  <c r="BH124" i="28"/>
  <c r="BI124" i="28"/>
  <c r="C287" i="39"/>
  <c r="AF130" i="9"/>
  <c r="AD130" i="9"/>
  <c r="K130" i="9"/>
  <c r="G130" i="9" a="1"/>
  <c r="G130" i="9" s="1"/>
  <c r="J127" i="28" s="1"/>
  <c r="E124" i="27"/>
  <c r="C131" i="9"/>
  <c r="C287" i="26"/>
  <c r="F130" i="9"/>
  <c r="AM130" i="9"/>
  <c r="AK131" i="9" s="1"/>
  <c r="D130" i="9"/>
  <c r="A130" i="9" s="1"/>
  <c r="AL130" i="9"/>
  <c r="Y286" i="26" l="1"/>
  <c r="AK286" i="26" s="1"/>
  <c r="AG130" i="9" a="1"/>
  <c r="AG130" i="9" s="1"/>
  <c r="AE130" i="9" s="1"/>
  <c r="AJ124" i="27" s="1"/>
  <c r="N286" i="39"/>
  <c r="O286" i="39" s="1"/>
  <c r="L129" i="9" s="1"/>
  <c r="K126" i="28" s="1"/>
  <c r="M126" i="9"/>
  <c r="M123" i="28" s="1"/>
  <c r="AX129" i="9"/>
  <c r="AW129" i="9"/>
  <c r="C288" i="39"/>
  <c r="E125" i="27"/>
  <c r="F131" i="9"/>
  <c r="G131" i="9" a="1"/>
  <c r="G131" i="9" s="1"/>
  <c r="J128" i="28" s="1"/>
  <c r="AF131" i="9"/>
  <c r="AD131" i="9"/>
  <c r="K131" i="9"/>
  <c r="C132" i="9"/>
  <c r="C288" i="26"/>
  <c r="AM131" i="9"/>
  <c r="AK132" i="9" s="1"/>
  <c r="D131" i="9"/>
  <c r="A131" i="9" s="1"/>
  <c r="AL131" i="9"/>
  <c r="AY124" i="27"/>
  <c r="BC124" i="27" s="1"/>
  <c r="AP124" i="27"/>
  <c r="V124" i="27"/>
  <c r="P124" i="27"/>
  <c r="R124" i="27" s="1"/>
  <c r="D124" i="27"/>
  <c r="BA124" i="27"/>
  <c r="BE124" i="27" s="1"/>
  <c r="Q124" i="27"/>
  <c r="S124" i="27" s="1"/>
  <c r="AZ124" i="27"/>
  <c r="BD124" i="27" s="1"/>
  <c r="Z124" i="27"/>
  <c r="AD124" i="27"/>
  <c r="AH124" i="27"/>
  <c r="AA123" i="27"/>
  <c r="Y123" i="27" s="1"/>
  <c r="X123" i="27"/>
  <c r="AV123" i="27" s="1"/>
  <c r="AM127" i="28"/>
  <c r="AQ127" i="28"/>
  <c r="AT127" i="28"/>
  <c r="AU127" i="28"/>
  <c r="BR127" i="28"/>
  <c r="BA127" i="28"/>
  <c r="AS127" i="28"/>
  <c r="BO127" i="28"/>
  <c r="AX127" i="28"/>
  <c r="AJ127" i="28"/>
  <c r="BV127" i="28"/>
  <c r="AR127" i="28"/>
  <c r="AZ127" i="28"/>
  <c r="BN126" i="28"/>
  <c r="AK127" i="28"/>
  <c r="BB127" i="28"/>
  <c r="AP127" i="28"/>
  <c r="BC127" i="28"/>
  <c r="AH127" i="28"/>
  <c r="AY127" i="28"/>
  <c r="AL127" i="28"/>
  <c r="BP127" i="28"/>
  <c r="BU127" i="28"/>
  <c r="BJ127" i="28"/>
  <c r="AI127" i="28"/>
  <c r="BD127" i="28"/>
  <c r="BQ127" i="28"/>
  <c r="BT127" i="28"/>
  <c r="AV127" i="28"/>
  <c r="AN127" i="28"/>
  <c r="BS127" i="28"/>
  <c r="CC127" i="28"/>
  <c r="Q127" i="28" a="1"/>
  <c r="Q127" i="28" s="1"/>
  <c r="O127" i="28" a="1"/>
  <c r="O127" i="28" s="1"/>
  <c r="W127" i="28" a="1"/>
  <c r="W127" i="28" s="1"/>
  <c r="U127" i="28" a="1"/>
  <c r="U127" i="28" s="1"/>
  <c r="S127" i="28" a="1"/>
  <c r="S127" i="28" s="1"/>
  <c r="I287" i="26" a="1"/>
  <c r="I287" i="26" s="1"/>
  <c r="U287" i="26" s="1"/>
  <c r="G287" i="26" a="1"/>
  <c r="G287" i="26" s="1"/>
  <c r="J287" i="26" a="1"/>
  <c r="J287" i="26" s="1"/>
  <c r="V287" i="26" s="1"/>
  <c r="H287" i="26" a="1"/>
  <c r="H287" i="26" s="1"/>
  <c r="T287" i="26" s="1"/>
  <c r="L287" i="26" a="1"/>
  <c r="L287" i="26" s="1"/>
  <c r="X287" i="26" s="1"/>
  <c r="K287" i="26" a="1"/>
  <c r="K287" i="26" s="1"/>
  <c r="W287" i="26" s="1"/>
  <c r="F287" i="26" a="1"/>
  <c r="F287" i="26" s="1"/>
  <c r="M287" i="26" a="1"/>
  <c r="M287" i="26" s="1"/>
  <c r="I127" i="9"/>
  <c r="AR121" i="27"/>
  <c r="AS121" i="27" s="1"/>
  <c r="AT121" i="27" s="1"/>
  <c r="BB120" i="27"/>
  <c r="BF120" i="27" s="1"/>
  <c r="BG120" i="27" s="1"/>
  <c r="BW123" i="28" s="1"/>
  <c r="BI125" i="28"/>
  <c r="BH125" i="28"/>
  <c r="G122" i="27"/>
  <c r="J128" i="9" s="1"/>
  <c r="AU122" i="27"/>
  <c r="F122" i="27"/>
  <c r="J287" i="39" a="1"/>
  <c r="J287" i="39" s="1"/>
  <c r="L287" i="39" a="1"/>
  <c r="L287" i="39" s="1"/>
  <c r="K287" i="39" a="1"/>
  <c r="K287" i="39" s="1"/>
  <c r="I287" i="39" a="1"/>
  <c r="I287" i="39" s="1"/>
  <c r="H287" i="39" a="1"/>
  <c r="H287" i="39" s="1"/>
  <c r="M287" i="39" a="1"/>
  <c r="M287" i="39" s="1"/>
  <c r="F287" i="39" a="1"/>
  <c r="F287" i="39" s="1"/>
  <c r="G287" i="39" a="1"/>
  <c r="G287" i="39" s="1"/>
  <c r="U122" i="27"/>
  <c r="I122" i="27"/>
  <c r="AF123" i="27"/>
  <c r="AI123" i="27"/>
  <c r="AG123" i="27" s="1"/>
  <c r="AT130" i="9"/>
  <c r="AL124" i="27"/>
  <c r="H127" i="28"/>
  <c r="AH130" i="9"/>
  <c r="AI130" i="9" s="1"/>
  <c r="AU130" i="9"/>
  <c r="Y126" i="28"/>
  <c r="AD126" i="28" s="1"/>
  <c r="BG126" i="28" s="1"/>
  <c r="X126" i="28"/>
  <c r="AC126" i="28" s="1"/>
  <c r="BF126" i="28" s="1"/>
  <c r="AJ131" i="9"/>
  <c r="AE129" i="9"/>
  <c r="AJ123" i="27" s="1"/>
  <c r="AK123" i="27"/>
  <c r="AE123" i="27"/>
  <c r="AC123" i="27" s="1"/>
  <c r="AB123" i="27"/>
  <c r="AW123" i="27" s="1"/>
  <c r="AX122" i="27"/>
  <c r="BB121" i="27" s="1"/>
  <c r="BF121" i="27" s="1"/>
  <c r="BG121" i="27" s="1"/>
  <c r="BW124" i="28" s="1"/>
  <c r="AO121" i="27"/>
  <c r="W123" i="27"/>
  <c r="T123" i="27"/>
  <c r="H123" i="27"/>
  <c r="AA126" i="28"/>
  <c r="AF126" i="28" s="1"/>
  <c r="Y287" i="26" l="1"/>
  <c r="AK287" i="26" s="1"/>
  <c r="AK124" i="27"/>
  <c r="AM124" i="27" s="1"/>
  <c r="AN124" i="27" s="1"/>
  <c r="AJ132" i="9"/>
  <c r="AG131" i="9" a="1"/>
  <c r="AG131" i="9" s="1"/>
  <c r="AK125" i="27" s="1"/>
  <c r="N287" i="39"/>
  <c r="O287" i="39" s="1"/>
  <c r="L130" i="9" s="1"/>
  <c r="K127" i="28" s="1"/>
  <c r="M127" i="9"/>
  <c r="M124" i="28" s="1"/>
  <c r="AX123" i="27"/>
  <c r="BB122" i="27" s="1"/>
  <c r="BF122" i="27" s="1"/>
  <c r="BG122" i="27" s="1"/>
  <c r="BW125" i="28" s="1"/>
  <c r="AA124" i="27"/>
  <c r="Y124" i="27" s="1"/>
  <c r="X124" i="27"/>
  <c r="AV124" i="27" s="1"/>
  <c r="AX130" i="9"/>
  <c r="AW130" i="9"/>
  <c r="X127" i="28"/>
  <c r="AC127" i="28" s="1"/>
  <c r="BF127" i="28" s="1"/>
  <c r="I128" i="9"/>
  <c r="AR122" i="27"/>
  <c r="AS122" i="27" s="1"/>
  <c r="AT122" i="27" s="1"/>
  <c r="H288" i="39" a="1"/>
  <c r="H288" i="39" s="1"/>
  <c r="K288" i="39" a="1"/>
  <c r="K288" i="39" s="1"/>
  <c r="L288" i="39" a="1"/>
  <c r="L288" i="39" s="1"/>
  <c r="J288" i="39" a="1"/>
  <c r="J288" i="39" s="1"/>
  <c r="I288" i="39" a="1"/>
  <c r="I288" i="39" s="1"/>
  <c r="M288" i="39" a="1"/>
  <c r="M288" i="39" s="1"/>
  <c r="F288" i="39" a="1"/>
  <c r="F288" i="39" s="1"/>
  <c r="G288" i="39" a="1"/>
  <c r="G288" i="39" s="1"/>
  <c r="W124" i="27"/>
  <c r="T124" i="27"/>
  <c r="H124" i="27"/>
  <c r="F123" i="27"/>
  <c r="AU123" i="27"/>
  <c r="AE124" i="27"/>
  <c r="AC124" i="27" s="1"/>
  <c r="AB124" i="27"/>
  <c r="AW124" i="27" s="1"/>
  <c r="BH126" i="28"/>
  <c r="BI126" i="28"/>
  <c r="BK127" i="28"/>
  <c r="AM123" i="27"/>
  <c r="AN123" i="27" s="1"/>
  <c r="C289" i="39"/>
  <c r="AD132" i="9"/>
  <c r="K132" i="9"/>
  <c r="C133" i="9"/>
  <c r="F132" i="9"/>
  <c r="AF132" i="9"/>
  <c r="C289" i="26"/>
  <c r="G132" i="9" a="1"/>
  <c r="G132" i="9" s="1"/>
  <c r="J129" i="28" s="1"/>
  <c r="E126" i="27"/>
  <c r="AM132" i="9"/>
  <c r="AK133" i="9" s="1"/>
  <c r="D132" i="9"/>
  <c r="A132" i="9" s="1"/>
  <c r="AL132" i="9"/>
  <c r="Q128" i="28" a="1"/>
  <c r="Q128" i="28" s="1"/>
  <c r="O128" i="28" a="1"/>
  <c r="O128" i="28" s="1"/>
  <c r="CC128" i="28"/>
  <c r="W128" i="28" a="1"/>
  <c r="W128" i="28" s="1"/>
  <c r="U128" i="28" a="1"/>
  <c r="U128" i="28" s="1"/>
  <c r="S128" i="28" a="1"/>
  <c r="S128" i="28" s="1"/>
  <c r="AR128" i="28"/>
  <c r="AN128" i="28"/>
  <c r="AI128" i="28"/>
  <c r="BJ128" i="28"/>
  <c r="AP128" i="28"/>
  <c r="AL128" i="28"/>
  <c r="BB128" i="28"/>
  <c r="BD128" i="28"/>
  <c r="AT128" i="28"/>
  <c r="AU128" i="28"/>
  <c r="BL128" i="28"/>
  <c r="BH128" i="28"/>
  <c r="AV128" i="28"/>
  <c r="AY128" i="28"/>
  <c r="AM128" i="28"/>
  <c r="BI128" i="28"/>
  <c r="AH128" i="28"/>
  <c r="AX128" i="28"/>
  <c r="AQ128" i="28"/>
  <c r="BC128" i="28"/>
  <c r="BG128" i="28"/>
  <c r="AZ128" i="28"/>
  <c r="BK128" i="28"/>
  <c r="AS128" i="28"/>
  <c r="AK128" i="28"/>
  <c r="BF128" i="28"/>
  <c r="BV128" i="28"/>
  <c r="AJ128" i="28"/>
  <c r="BA128" i="28"/>
  <c r="BT128" i="28"/>
  <c r="U123" i="27"/>
  <c r="G123" i="27" s="1"/>
  <c r="J129" i="9" s="1"/>
  <c r="I123" i="27"/>
  <c r="AO122" i="27"/>
  <c r="H128" i="28"/>
  <c r="BU128" i="28" s="1"/>
  <c r="AU131" i="9"/>
  <c r="AT131" i="9"/>
  <c r="AH131" i="9"/>
  <c r="AI131" i="9" s="1"/>
  <c r="AL125" i="27"/>
  <c r="L288" i="26" a="1"/>
  <c r="L288" i="26" s="1"/>
  <c r="X288" i="26" s="1"/>
  <c r="F288" i="26" a="1"/>
  <c r="F288" i="26" s="1"/>
  <c r="I288" i="26" a="1"/>
  <c r="I288" i="26" s="1"/>
  <c r="U288" i="26" s="1"/>
  <c r="G288" i="26" a="1"/>
  <c r="G288" i="26" s="1"/>
  <c r="M288" i="26" a="1"/>
  <c r="M288" i="26" s="1"/>
  <c r="H288" i="26" a="1"/>
  <c r="H288" i="26" s="1"/>
  <c r="T288" i="26" s="1"/>
  <c r="K288" i="26" a="1"/>
  <c r="K288" i="26" s="1"/>
  <c r="W288" i="26" s="1"/>
  <c r="J288" i="26" a="1"/>
  <c r="J288" i="26" s="1"/>
  <c r="V288" i="26" s="1"/>
  <c r="AF124" i="27"/>
  <c r="AI124" i="27"/>
  <c r="AG124" i="27" s="1"/>
  <c r="AA127" i="28"/>
  <c r="AF127" i="28" s="1"/>
  <c r="Y127" i="28"/>
  <c r="AD127" i="28" s="1"/>
  <c r="BG127" i="28" s="1"/>
  <c r="AH125" i="27"/>
  <c r="BA125" i="27"/>
  <c r="BE125" i="27" s="1"/>
  <c r="AZ125" i="27"/>
  <c r="BD125" i="27" s="1"/>
  <c r="D125" i="27"/>
  <c r="Q125" i="27"/>
  <c r="S125" i="27" s="1"/>
  <c r="AD125" i="27"/>
  <c r="Z125" i="27"/>
  <c r="V125" i="27"/>
  <c r="AP125" i="27"/>
  <c r="AY125" i="27"/>
  <c r="BC125" i="27" s="1"/>
  <c r="P125" i="27"/>
  <c r="R125" i="27" s="1"/>
  <c r="Y288" i="26" l="1"/>
  <c r="AK288" i="26" s="1"/>
  <c r="AE131" i="9"/>
  <c r="AJ125" i="27" s="1"/>
  <c r="AM125" i="27" s="1"/>
  <c r="AN125" i="27" s="1"/>
  <c r="M128" i="9"/>
  <c r="M125" i="28" s="1"/>
  <c r="N288" i="39"/>
  <c r="O288" i="39" s="1"/>
  <c r="L131" i="9" s="1"/>
  <c r="K128" i="28" s="1"/>
  <c r="AJ133" i="9"/>
  <c r="C290" i="39"/>
  <c r="C290" i="26"/>
  <c r="K133" i="9"/>
  <c r="G133" i="9" a="1"/>
  <c r="G133" i="9" s="1"/>
  <c r="J130" i="28" s="1"/>
  <c r="E127" i="27"/>
  <c r="F133" i="9"/>
  <c r="AD133" i="9"/>
  <c r="C134" i="9"/>
  <c r="AF133" i="9"/>
  <c r="AM133" i="9"/>
  <c r="AK134" i="9" s="1"/>
  <c r="D133" i="9"/>
  <c r="A133" i="9" s="1"/>
  <c r="AL133" i="9"/>
  <c r="Q129" i="28" a="1"/>
  <c r="Q129" i="28" s="1"/>
  <c r="W129" i="28" a="1"/>
  <c r="W129" i="28" s="1"/>
  <c r="O129" i="28" a="1"/>
  <c r="O129" i="28" s="1"/>
  <c r="CC129" i="28"/>
  <c r="S129" i="28" a="1"/>
  <c r="S129" i="28" s="1"/>
  <c r="U129" i="28" a="1"/>
  <c r="U129" i="28" s="1"/>
  <c r="BI127" i="28"/>
  <c r="BH127" i="28"/>
  <c r="I129" i="9"/>
  <c r="AR123" i="27"/>
  <c r="AS123" i="27" s="1"/>
  <c r="AT123" i="27" s="1"/>
  <c r="L289" i="39" a="1"/>
  <c r="L289" i="39" s="1"/>
  <c r="I289" i="39" a="1"/>
  <c r="I289" i="39" s="1"/>
  <c r="K289" i="39" a="1"/>
  <c r="K289" i="39" s="1"/>
  <c r="H289" i="39" a="1"/>
  <c r="H289" i="39" s="1"/>
  <c r="J289" i="39" a="1"/>
  <c r="J289" i="39" s="1"/>
  <c r="M289" i="39" a="1"/>
  <c r="M289" i="39" s="1"/>
  <c r="F289" i="39" a="1"/>
  <c r="F289" i="39" s="1"/>
  <c r="G289" i="39" a="1"/>
  <c r="G289" i="39" s="1"/>
  <c r="F124" i="27"/>
  <c r="AU124" i="27"/>
  <c r="AX124" i="27"/>
  <c r="AO123" i="27"/>
  <c r="U124" i="27"/>
  <c r="I124" i="27"/>
  <c r="AY126" i="27"/>
  <c r="BC126" i="27" s="1"/>
  <c r="BB126" i="27"/>
  <c r="BF126" i="27" s="1"/>
  <c r="Q126" i="27"/>
  <c r="S126" i="27" s="1"/>
  <c r="BA126" i="27"/>
  <c r="BE126" i="27" s="1"/>
  <c r="V126" i="27"/>
  <c r="AP126" i="27"/>
  <c r="AD126" i="27"/>
  <c r="AH126" i="27"/>
  <c r="AZ126" i="27"/>
  <c r="BD126" i="27" s="1"/>
  <c r="D126" i="27"/>
  <c r="Z126" i="27"/>
  <c r="P126" i="27"/>
  <c r="R126" i="27" s="1"/>
  <c r="X128" i="28"/>
  <c r="AC128" i="28" s="1"/>
  <c r="AA128" i="28"/>
  <c r="AF128" i="28" s="1"/>
  <c r="Y128" i="28"/>
  <c r="AD128" i="28" s="1"/>
  <c r="BQ128" i="28" s="1"/>
  <c r="G289" i="26" a="1"/>
  <c r="G289" i="26" s="1"/>
  <c r="F289" i="26" a="1"/>
  <c r="F289" i="26" s="1"/>
  <c r="H289" i="26" a="1"/>
  <c r="H289" i="26" s="1"/>
  <c r="T289" i="26" s="1"/>
  <c r="K289" i="26" a="1"/>
  <c r="K289" i="26" s="1"/>
  <c r="W289" i="26" s="1"/>
  <c r="M289" i="26" a="1"/>
  <c r="M289" i="26" s="1"/>
  <c r="L289" i="26" a="1"/>
  <c r="L289" i="26" s="1"/>
  <c r="X289" i="26" s="1"/>
  <c r="I289" i="26" a="1"/>
  <c r="I289" i="26" s="1"/>
  <c r="U289" i="26" s="1"/>
  <c r="J289" i="26" a="1"/>
  <c r="J289" i="26" s="1"/>
  <c r="V289" i="26" s="1"/>
  <c r="G124" i="27"/>
  <c r="J130" i="9" s="1"/>
  <c r="AI125" i="27"/>
  <c r="AG125" i="27" s="1"/>
  <c r="AF125" i="27"/>
  <c r="AX131" i="9"/>
  <c r="AW131" i="9"/>
  <c r="AE125" i="27"/>
  <c r="AC125" i="27" s="1"/>
  <c r="AB125" i="27"/>
  <c r="AW125" i="27" s="1"/>
  <c r="BC129" i="28"/>
  <c r="BG129" i="28"/>
  <c r="BB129" i="28"/>
  <c r="BJ129" i="28"/>
  <c r="AM129" i="28"/>
  <c r="BK129" i="28"/>
  <c r="BQ129" i="28"/>
  <c r="AK129" i="28"/>
  <c r="AR129" i="28"/>
  <c r="AX129" i="28"/>
  <c r="BR129" i="28"/>
  <c r="BS129" i="28"/>
  <c r="BN128" i="28"/>
  <c r="BA129" i="28"/>
  <c r="AJ129" i="28"/>
  <c r="AH129" i="28"/>
  <c r="BP129" i="28"/>
  <c r="AV129" i="28"/>
  <c r="AY129" i="28"/>
  <c r="BD129" i="28"/>
  <c r="AT129" i="28"/>
  <c r="AU129" i="28"/>
  <c r="AS129" i="28"/>
  <c r="BI129" i="28"/>
  <c r="AL129" i="28"/>
  <c r="AI129" i="28"/>
  <c r="BL129" i="28"/>
  <c r="BT129" i="28"/>
  <c r="AP129" i="28"/>
  <c r="BO129" i="28"/>
  <c r="AQ129" i="28"/>
  <c r="BF129" i="28"/>
  <c r="BU129" i="28"/>
  <c r="AN129" i="28"/>
  <c r="BO128" i="28"/>
  <c r="AG132" i="9" a="1"/>
  <c r="AG132" i="9" s="1"/>
  <c r="T125" i="27"/>
  <c r="W125" i="27"/>
  <c r="H125" i="27"/>
  <c r="AA125" i="27"/>
  <c r="Y125" i="27" s="1"/>
  <c r="X125" i="27"/>
  <c r="AV125" i="27" s="1"/>
  <c r="BN127" i="28"/>
  <c r="AL126" i="27"/>
  <c r="AU132" i="9"/>
  <c r="H129" i="28"/>
  <c r="AH132" i="9"/>
  <c r="AI132" i="9" s="1"/>
  <c r="AT132" i="9"/>
  <c r="Y289" i="26" l="1"/>
  <c r="AK289" i="26" s="1"/>
  <c r="AG133" i="9" a="1"/>
  <c r="AG133" i="9" s="1"/>
  <c r="AE133" i="9" s="1"/>
  <c r="AJ127" i="27" s="1"/>
  <c r="AX125" i="27"/>
  <c r="M129" i="9"/>
  <c r="M126" i="28" s="1"/>
  <c r="N289" i="39"/>
  <c r="O289" i="39" s="1"/>
  <c r="L132" i="9" s="1"/>
  <c r="K129" i="28" s="1"/>
  <c r="AJ134" i="9"/>
  <c r="AK126" i="27"/>
  <c r="AE132" i="9"/>
  <c r="AJ126" i="27" s="1"/>
  <c r="BR128" i="28"/>
  <c r="BS128" i="28"/>
  <c r="K290" i="39" a="1"/>
  <c r="K290" i="39" s="1"/>
  <c r="J290" i="39" a="1"/>
  <c r="J290" i="39" s="1"/>
  <c r="H290" i="39" a="1"/>
  <c r="H290" i="39" s="1"/>
  <c r="M290" i="39" a="1"/>
  <c r="M290" i="39" s="1"/>
  <c r="L290" i="39" a="1"/>
  <c r="L290" i="39" s="1"/>
  <c r="I290" i="39" a="1"/>
  <c r="I290" i="39" s="1"/>
  <c r="F290" i="39" a="1"/>
  <c r="F290" i="39" s="1"/>
  <c r="G290" i="39" a="1"/>
  <c r="G290" i="39" s="1"/>
  <c r="AF126" i="27"/>
  <c r="AI126" i="27"/>
  <c r="AG126" i="27" s="1"/>
  <c r="C291" i="39"/>
  <c r="C135" i="9"/>
  <c r="E128" i="27"/>
  <c r="F134" i="9"/>
  <c r="G134" i="9" a="1"/>
  <c r="G134" i="9" s="1"/>
  <c r="J131" i="28" s="1"/>
  <c r="AF134" i="9"/>
  <c r="AD134" i="9"/>
  <c r="K134" i="9"/>
  <c r="C291" i="26"/>
  <c r="AM134" i="9"/>
  <c r="AK135" i="9" s="1"/>
  <c r="AL134" i="9"/>
  <c r="D134" i="9"/>
  <c r="A134" i="9" s="1"/>
  <c r="AL130" i="28"/>
  <c r="AN130" i="28"/>
  <c r="BP130" i="28"/>
  <c r="BA130" i="28"/>
  <c r="AK130" i="28"/>
  <c r="AH130" i="28"/>
  <c r="BF130" i="28"/>
  <c r="BI130" i="28"/>
  <c r="AX130" i="28"/>
  <c r="AS130" i="28"/>
  <c r="AJ130" i="28"/>
  <c r="BN129" i="28"/>
  <c r="BR130" i="28"/>
  <c r="BS130" i="28"/>
  <c r="AU130" i="28"/>
  <c r="AQ130" i="28"/>
  <c r="AP130" i="28"/>
  <c r="BG130" i="28"/>
  <c r="AM130" i="28"/>
  <c r="AT130" i="28"/>
  <c r="BQ130" i="28"/>
  <c r="BO130" i="28"/>
  <c r="BK130" i="28"/>
  <c r="BT130" i="28"/>
  <c r="BU130" i="28"/>
  <c r="BC130" i="28"/>
  <c r="BD130" i="28"/>
  <c r="AV130" i="28"/>
  <c r="BJ130" i="28"/>
  <c r="AI130" i="28"/>
  <c r="AY130" i="28"/>
  <c r="BL130" i="28"/>
  <c r="BB130" i="28"/>
  <c r="AR130" i="28"/>
  <c r="AA129" i="28"/>
  <c r="AF129" i="28" s="1"/>
  <c r="X129" i="28"/>
  <c r="AC129" i="28" s="1"/>
  <c r="Y129" i="28"/>
  <c r="AD129" i="28" s="1"/>
  <c r="AE126" i="27"/>
  <c r="AC126" i="27" s="1"/>
  <c r="AB126" i="27"/>
  <c r="AW126" i="27" s="1"/>
  <c r="BG126" i="27"/>
  <c r="BW129" i="28" s="1"/>
  <c r="U125" i="27"/>
  <c r="G125" i="27" s="1"/>
  <c r="J131" i="9" s="1"/>
  <c r="I125" i="27"/>
  <c r="Q127" i="27"/>
  <c r="S127" i="27" s="1"/>
  <c r="BB127" i="27"/>
  <c r="BF127" i="27" s="1"/>
  <c r="BA127" i="27"/>
  <c r="BE127" i="27" s="1"/>
  <c r="AH127" i="27"/>
  <c r="Z127" i="27"/>
  <c r="AP127" i="27"/>
  <c r="AD127" i="27"/>
  <c r="V127" i="27"/>
  <c r="AY127" i="27"/>
  <c r="BC127" i="27" s="1"/>
  <c r="D127" i="27"/>
  <c r="AZ127" i="27"/>
  <c r="BD127" i="27" s="1"/>
  <c r="P127" i="27"/>
  <c r="R127" i="27" s="1"/>
  <c r="I130" i="9"/>
  <c r="AR124" i="27"/>
  <c r="AS124" i="27" s="1"/>
  <c r="AT124" i="27" s="1"/>
  <c r="AO124" i="27"/>
  <c r="AU133" i="9"/>
  <c r="AL127" i="27"/>
  <c r="H130" i="28"/>
  <c r="AH133" i="9"/>
  <c r="AI133" i="9" s="1"/>
  <c r="AT133" i="9"/>
  <c r="AU125" i="27"/>
  <c r="F125" i="27"/>
  <c r="AO125" i="27" s="1"/>
  <c r="BB124" i="27"/>
  <c r="BF124" i="27" s="1"/>
  <c r="BG124" i="27" s="1"/>
  <c r="BW127" i="28" s="1"/>
  <c r="BB123" i="27"/>
  <c r="BF123" i="27" s="1"/>
  <c r="BG123" i="27" s="1"/>
  <c r="BW126" i="28" s="1"/>
  <c r="AW132" i="9"/>
  <c r="AX132" i="9"/>
  <c r="T126" i="27"/>
  <c r="W126" i="27"/>
  <c r="U126" i="27" s="1"/>
  <c r="H126" i="27"/>
  <c r="BP128" i="28"/>
  <c r="F290" i="26" a="1"/>
  <c r="F290" i="26" s="1"/>
  <c r="I290" i="26" a="1"/>
  <c r="I290" i="26" s="1"/>
  <c r="U290" i="26" s="1"/>
  <c r="G290" i="26" a="1"/>
  <c r="G290" i="26" s="1"/>
  <c r="M290" i="26" a="1"/>
  <c r="M290" i="26" s="1"/>
  <c r="H290" i="26" a="1"/>
  <c r="H290" i="26" s="1"/>
  <c r="T290" i="26" s="1"/>
  <c r="K290" i="26" a="1"/>
  <c r="K290" i="26" s="1"/>
  <c r="W290" i="26" s="1"/>
  <c r="L290" i="26" a="1"/>
  <c r="L290" i="26" s="1"/>
  <c r="X290" i="26" s="1"/>
  <c r="J290" i="26" a="1"/>
  <c r="J290" i="26" s="1"/>
  <c r="V290" i="26" s="1"/>
  <c r="W130" i="28" a="1"/>
  <c r="W130" i="28" s="1"/>
  <c r="CC130" i="28"/>
  <c r="S130" i="28" a="1"/>
  <c r="S130" i="28" s="1"/>
  <c r="O130" i="28" a="1"/>
  <c r="O130" i="28" s="1"/>
  <c r="Q130" i="28" a="1"/>
  <c r="Q130" i="28" s="1"/>
  <c r="U130" i="28" a="1"/>
  <c r="U130" i="28" s="1"/>
  <c r="AA126" i="27"/>
  <c r="X126" i="27"/>
  <c r="AV126" i="27" s="1"/>
  <c r="Y290" i="26" l="1"/>
  <c r="AK290" i="26" s="1"/>
  <c r="AK127" i="27"/>
  <c r="AM127" i="27" s="1"/>
  <c r="AN127" i="27" s="1"/>
  <c r="AG134" i="9" a="1"/>
  <c r="AG134" i="9" s="1"/>
  <c r="AK128" i="27" s="1"/>
  <c r="AM126" i="27"/>
  <c r="AN126" i="27" s="1"/>
  <c r="M130" i="9"/>
  <c r="M127" i="28" s="1"/>
  <c r="N290" i="39"/>
  <c r="O290" i="39" s="1"/>
  <c r="L133" i="9" s="1"/>
  <c r="K130" i="28" s="1"/>
  <c r="BX128" i="28"/>
  <c r="BG127" i="27"/>
  <c r="BW130" i="28" s="1"/>
  <c r="AX133" i="9"/>
  <c r="AW133" i="9"/>
  <c r="AJ135" i="9"/>
  <c r="I126" i="27"/>
  <c r="Y126" i="27"/>
  <c r="G126" i="27" s="1"/>
  <c r="J132" i="9" s="1"/>
  <c r="C292" i="39"/>
  <c r="F135" i="9"/>
  <c r="E129" i="27"/>
  <c r="AF135" i="9"/>
  <c r="AD135" i="9"/>
  <c r="C136" i="9"/>
  <c r="G135" i="9" a="1"/>
  <c r="G135" i="9" s="1"/>
  <c r="J132" i="28" s="1"/>
  <c r="C292" i="26"/>
  <c r="K135" i="9"/>
  <c r="AM135" i="9"/>
  <c r="AK136" i="9" s="1"/>
  <c r="AL135" i="9"/>
  <c r="D135" i="9"/>
  <c r="A135" i="9" s="1"/>
  <c r="F291" i="26" a="1"/>
  <c r="F291" i="26" s="1"/>
  <c r="J291" i="26" a="1"/>
  <c r="J291" i="26" s="1"/>
  <c r="V291" i="26" s="1"/>
  <c r="G291" i="26" a="1"/>
  <c r="G291" i="26" s="1"/>
  <c r="M291" i="26" a="1"/>
  <c r="M291" i="26" s="1"/>
  <c r="L291" i="26" a="1"/>
  <c r="L291" i="26" s="1"/>
  <c r="X291" i="26" s="1"/>
  <c r="I291" i="26" a="1"/>
  <c r="I291" i="26" s="1"/>
  <c r="U291" i="26" s="1"/>
  <c r="H291" i="26" a="1"/>
  <c r="H291" i="26" s="1"/>
  <c r="T291" i="26" s="1"/>
  <c r="K291" i="26" a="1"/>
  <c r="K291" i="26" s="1"/>
  <c r="W291" i="26" s="1"/>
  <c r="I131" i="9"/>
  <c r="AR125" i="27"/>
  <c r="AS125" i="27" s="1"/>
  <c r="AT125" i="27" s="1"/>
  <c r="W127" i="27"/>
  <c r="T127" i="27"/>
  <c r="H127" i="27"/>
  <c r="J291" i="39" a="1"/>
  <c r="J291" i="39" s="1"/>
  <c r="H291" i="39" a="1"/>
  <c r="H291" i="39" s="1"/>
  <c r="I291" i="39" a="1"/>
  <c r="I291" i="39" s="1"/>
  <c r="L291" i="39" a="1"/>
  <c r="L291" i="39" s="1"/>
  <c r="K291" i="39" a="1"/>
  <c r="K291" i="39" s="1"/>
  <c r="M291" i="39" a="1"/>
  <c r="M291" i="39" s="1"/>
  <c r="F291" i="39" a="1"/>
  <c r="F291" i="39" s="1"/>
  <c r="G291" i="39" a="1"/>
  <c r="G291" i="39" s="1"/>
  <c r="AE127" i="27"/>
  <c r="AC127" i="27" s="1"/>
  <c r="AB127" i="27"/>
  <c r="AW127" i="27" s="1"/>
  <c r="AI127" i="27"/>
  <c r="AG127" i="27" s="1"/>
  <c r="AF127" i="27"/>
  <c r="AR22" i="27"/>
  <c r="AR24" i="27" s="1"/>
  <c r="AH128" i="27"/>
  <c r="Z128" i="27"/>
  <c r="D128" i="27"/>
  <c r="BA128" i="27"/>
  <c r="BE128" i="27" s="1"/>
  <c r="AY128" i="27"/>
  <c r="BC128" i="27" s="1"/>
  <c r="AR13" i="27" s="1"/>
  <c r="AR15" i="27" s="1"/>
  <c r="AP128" i="27"/>
  <c r="V128" i="27"/>
  <c r="AZ128" i="27"/>
  <c r="BD128" i="27" s="1"/>
  <c r="AR16" i="27" s="1"/>
  <c r="AR18" i="27" s="1"/>
  <c r="AD128" i="27"/>
  <c r="Q128" i="27"/>
  <c r="S128" i="27" s="1"/>
  <c r="P128" i="27"/>
  <c r="R128" i="27" s="1"/>
  <c r="AX126" i="27"/>
  <c r="BB125" i="27" s="1"/>
  <c r="BF125" i="27" s="1"/>
  <c r="BG125" i="27" s="1"/>
  <c r="BW128" i="28" s="1"/>
  <c r="AH134" i="9"/>
  <c r="AI134" i="9" s="1"/>
  <c r="H131" i="28"/>
  <c r="AL128" i="27"/>
  <c r="AU126" i="27"/>
  <c r="F126" i="27"/>
  <c r="BF131" i="28"/>
  <c r="AY131" i="28"/>
  <c r="BB131" i="28"/>
  <c r="BK131" i="28"/>
  <c r="AR131" i="28"/>
  <c r="AP131" i="28"/>
  <c r="BS131" i="28"/>
  <c r="BU131" i="28"/>
  <c r="AT131" i="28"/>
  <c r="BO131" i="28"/>
  <c r="AH131" i="28"/>
  <c r="BQ131" i="28"/>
  <c r="AU131" i="28"/>
  <c r="AN131" i="28"/>
  <c r="BR131" i="28"/>
  <c r="AX131" i="28"/>
  <c r="BL131" i="28"/>
  <c r="AJ131" i="28"/>
  <c r="BG131" i="28"/>
  <c r="BI131" i="28"/>
  <c r="BJ131" i="28"/>
  <c r="AI131" i="28"/>
  <c r="BT131" i="28"/>
  <c r="BA131" i="28"/>
  <c r="BN130" i="28"/>
  <c r="AM131" i="28"/>
  <c r="BP131" i="28"/>
  <c r="AQ131" i="28"/>
  <c r="AV131" i="28"/>
  <c r="BD131" i="28"/>
  <c r="AL131" i="28"/>
  <c r="BC131" i="28"/>
  <c r="AK131" i="28"/>
  <c r="AS131" i="28"/>
  <c r="S131" i="28" a="1"/>
  <c r="S131" i="28" s="1"/>
  <c r="U131" i="28" a="1"/>
  <c r="U131" i="28" s="1"/>
  <c r="W131" i="28" a="1"/>
  <c r="W131" i="28" s="1"/>
  <c r="CC131" i="28"/>
  <c r="O131" i="28" a="1"/>
  <c r="O131" i="28" s="1"/>
  <c r="Q131" i="28" a="1"/>
  <c r="Q131" i="28" s="1"/>
  <c r="Y130" i="28"/>
  <c r="AD130" i="28" s="1"/>
  <c r="AA130" i="28"/>
  <c r="AF130" i="28" s="1"/>
  <c r="X130" i="28"/>
  <c r="AC130" i="28" s="1"/>
  <c r="AA127" i="27"/>
  <c r="Y127" i="27" s="1"/>
  <c r="X127" i="27"/>
  <c r="AV127" i="27" s="1"/>
  <c r="Y291" i="26" l="1"/>
  <c r="AK291" i="26" s="1"/>
  <c r="AJ136" i="9"/>
  <c r="AE134" i="9"/>
  <c r="AJ128" i="27" s="1"/>
  <c r="AM128" i="27" s="1"/>
  <c r="AN128" i="27" s="1"/>
  <c r="M131" i="9"/>
  <c r="M128" i="28" s="1"/>
  <c r="N291" i="39"/>
  <c r="O291" i="39" s="1"/>
  <c r="L134" i="9" s="1"/>
  <c r="K131" i="28" s="1"/>
  <c r="BY128" i="28"/>
  <c r="CE128" i="28" s="1"/>
  <c r="E288" i="26" s="1"/>
  <c r="AG135" i="9" a="1"/>
  <c r="AG135" i="9" s="1"/>
  <c r="AK129" i="27" s="1"/>
  <c r="AX127" i="27"/>
  <c r="U132" i="28" a="1"/>
  <c r="U132" i="28" s="1"/>
  <c r="S132" i="28" a="1"/>
  <c r="S132" i="28" s="1"/>
  <c r="O132" i="28" a="1"/>
  <c r="O132" i="28" s="1"/>
  <c r="W132" i="28" a="1"/>
  <c r="W132" i="28" s="1"/>
  <c r="CC132" i="28"/>
  <c r="Q132" i="28" a="1"/>
  <c r="Q132" i="28" s="1"/>
  <c r="AD129" i="27"/>
  <c r="V129" i="27"/>
  <c r="BA129" i="27"/>
  <c r="BE129" i="27" s="1"/>
  <c r="AH129" i="27"/>
  <c r="AZ129" i="27"/>
  <c r="BD129" i="27" s="1"/>
  <c r="D129" i="27"/>
  <c r="Q129" i="27"/>
  <c r="S129" i="27" s="1"/>
  <c r="BB129" i="27"/>
  <c r="BF129" i="27" s="1"/>
  <c r="AY129" i="27"/>
  <c r="BC129" i="27" s="1"/>
  <c r="Z129" i="27"/>
  <c r="AP129" i="27"/>
  <c r="P129" i="27"/>
  <c r="R129" i="27" s="1"/>
  <c r="AU127" i="27"/>
  <c r="F127" i="27"/>
  <c r="AO127" i="27" s="1"/>
  <c r="H132" i="28"/>
  <c r="AL129" i="27"/>
  <c r="AH135" i="9"/>
  <c r="AI135" i="9" s="1"/>
  <c r="I132" i="9"/>
  <c r="AR126" i="27"/>
  <c r="AS126" i="27" s="1"/>
  <c r="AT126" i="27" s="1"/>
  <c r="X128" i="27"/>
  <c r="AV128" i="27" s="1"/>
  <c r="AA128" i="27"/>
  <c r="Y128" i="27" s="1"/>
  <c r="AF128" i="27"/>
  <c r="AI128" i="27"/>
  <c r="AG128" i="27" s="1"/>
  <c r="AE128" i="27"/>
  <c r="AC128" i="27" s="1"/>
  <c r="AB128" i="27"/>
  <c r="AW128" i="27" s="1"/>
  <c r="K292" i="26" a="1"/>
  <c r="K292" i="26" s="1"/>
  <c r="W292" i="26" s="1"/>
  <c r="G292" i="26" a="1"/>
  <c r="G292" i="26" s="1"/>
  <c r="H292" i="26" a="1"/>
  <c r="H292" i="26" s="1"/>
  <c r="T292" i="26" s="1"/>
  <c r="F292" i="26" a="1"/>
  <c r="F292" i="26" s="1"/>
  <c r="M292" i="26" a="1"/>
  <c r="M292" i="26" s="1"/>
  <c r="I292" i="26" a="1"/>
  <c r="I292" i="26" s="1"/>
  <c r="U292" i="26" s="1"/>
  <c r="J292" i="26" a="1"/>
  <c r="J292" i="26" s="1"/>
  <c r="V292" i="26" s="1"/>
  <c r="L292" i="26" a="1"/>
  <c r="L292" i="26" s="1"/>
  <c r="X292" i="26" s="1"/>
  <c r="H128" i="27"/>
  <c r="T128" i="27"/>
  <c r="W128" i="27"/>
  <c r="BC132" i="28"/>
  <c r="BG132" i="28"/>
  <c r="AY132" i="28"/>
  <c r="BO132" i="28"/>
  <c r="BB132" i="28"/>
  <c r="BI132" i="28"/>
  <c r="BT132" i="28"/>
  <c r="AS132" i="28"/>
  <c r="AT132" i="28"/>
  <c r="AP132" i="28"/>
  <c r="AU132" i="28"/>
  <c r="AR132" i="28"/>
  <c r="BU132" i="28"/>
  <c r="BF132" i="28"/>
  <c r="BR132" i="28"/>
  <c r="BP132" i="28"/>
  <c r="AX132" i="28"/>
  <c r="AJ132" i="28"/>
  <c r="BA132" i="28"/>
  <c r="AH132" i="28"/>
  <c r="BN131" i="28"/>
  <c r="AN132" i="28"/>
  <c r="BS132" i="28"/>
  <c r="AK132" i="28"/>
  <c r="AQ132" i="28"/>
  <c r="AL132" i="28"/>
  <c r="AI132" i="28"/>
  <c r="AV132" i="28"/>
  <c r="BD132" i="28"/>
  <c r="BL132" i="28"/>
  <c r="AM132" i="28"/>
  <c r="BQ132" i="28"/>
  <c r="BJ132" i="28"/>
  <c r="BK132" i="28"/>
  <c r="AO126" i="27"/>
  <c r="I127" i="27"/>
  <c r="U127" i="27"/>
  <c r="G127" i="27" s="1"/>
  <c r="J133" i="9" s="1"/>
  <c r="I292" i="39" a="1"/>
  <c r="I292" i="39" s="1"/>
  <c r="H292" i="39" a="1"/>
  <c r="H292" i="39" s="1"/>
  <c r="L292" i="39" a="1"/>
  <c r="L292" i="39" s="1"/>
  <c r="M292" i="39" a="1"/>
  <c r="M292" i="39" s="1"/>
  <c r="J292" i="39" a="1"/>
  <c r="J292" i="39" s="1"/>
  <c r="K292" i="39" a="1"/>
  <c r="K292" i="39" s="1"/>
  <c r="F292" i="39" a="1"/>
  <c r="F292" i="39" s="1"/>
  <c r="G292" i="39" a="1"/>
  <c r="G292" i="39" s="1"/>
  <c r="AA131" i="28"/>
  <c r="AF131" i="28" s="1"/>
  <c r="X131" i="28"/>
  <c r="AC131" i="28" s="1"/>
  <c r="Y131" i="28"/>
  <c r="AD131" i="28" s="1"/>
  <c r="BG128" i="27"/>
  <c r="BW131" i="28" s="1"/>
  <c r="AR19" i="27"/>
  <c r="AR21" i="27" s="1"/>
  <c r="AR25" i="27" s="1"/>
  <c r="C293" i="39"/>
  <c r="G136" i="9" a="1"/>
  <c r="G136" i="9" s="1"/>
  <c r="J133" i="28" s="1"/>
  <c r="AD136" i="9"/>
  <c r="AF136" i="9"/>
  <c r="K136" i="9"/>
  <c r="C293" i="26"/>
  <c r="E130" i="27"/>
  <c r="C137" i="9"/>
  <c r="F136" i="9"/>
  <c r="AM136" i="9"/>
  <c r="AK137" i="9" s="1"/>
  <c r="AL136" i="9"/>
  <c r="D136" i="9"/>
  <c r="A136" i="9" s="1"/>
  <c r="Y292" i="26" l="1"/>
  <c r="AK292" i="26" s="1"/>
  <c r="AE135" i="9"/>
  <c r="AJ129" i="27" s="1"/>
  <c r="AM129" i="27" s="1"/>
  <c r="AN129" i="27" s="1"/>
  <c r="N292" i="39"/>
  <c r="O292" i="39" s="1"/>
  <c r="L135" i="9" s="1"/>
  <c r="K132" i="28" s="1"/>
  <c r="M132" i="9"/>
  <c r="M129" i="28" s="1"/>
  <c r="E288" i="39"/>
  <c r="AH136" i="9"/>
  <c r="AI136" i="9" s="1"/>
  <c r="H133" i="28"/>
  <c r="AL130" i="27"/>
  <c r="W129" i="27"/>
  <c r="T129" i="27"/>
  <c r="H129" i="27"/>
  <c r="W133" i="28" a="1"/>
  <c r="W133" i="28" s="1"/>
  <c r="U133" i="28" a="1"/>
  <c r="U133" i="28" s="1"/>
  <c r="S133" i="28" a="1"/>
  <c r="S133" i="28" s="1"/>
  <c r="CC133" i="28"/>
  <c r="O133" i="28" a="1"/>
  <c r="O133" i="28" s="1"/>
  <c r="Q133" i="28" a="1"/>
  <c r="Q133" i="28" s="1"/>
  <c r="AA129" i="27"/>
  <c r="Y129" i="27" s="1"/>
  <c r="X129" i="27"/>
  <c r="AV129" i="27" s="1"/>
  <c r="C294" i="39"/>
  <c r="G137" i="9" a="1"/>
  <c r="G137" i="9" s="1"/>
  <c r="J134" i="28" s="1"/>
  <c r="E131" i="27"/>
  <c r="AD137" i="9"/>
  <c r="C294" i="26"/>
  <c r="C138" i="9"/>
  <c r="AF137" i="9"/>
  <c r="F137" i="9"/>
  <c r="K137" i="9"/>
  <c r="AM137" i="9"/>
  <c r="AK138" i="9" s="1"/>
  <c r="D137" i="9"/>
  <c r="A137" i="9" s="1"/>
  <c r="AL137" i="9"/>
  <c r="AJ137" i="9"/>
  <c r="I133" i="9"/>
  <c r="AR127" i="27"/>
  <c r="AS127" i="27" s="1"/>
  <c r="AT127" i="27" s="1"/>
  <c r="AX128" i="27"/>
  <c r="BG129" i="27"/>
  <c r="BW132" i="28" s="1"/>
  <c r="U128" i="27"/>
  <c r="G128" i="27" s="1"/>
  <c r="J134" i="9" s="1"/>
  <c r="I128" i="27"/>
  <c r="AU128" i="27"/>
  <c r="F128" i="27"/>
  <c r="D130" i="27"/>
  <c r="BB130" i="27"/>
  <c r="BF130" i="27" s="1"/>
  <c r="AP130" i="27"/>
  <c r="V130" i="27"/>
  <c r="Q130" i="27"/>
  <c r="S130" i="27" s="1"/>
  <c r="BA130" i="27"/>
  <c r="BE130" i="27" s="1"/>
  <c r="AY130" i="27"/>
  <c r="BC130" i="27" s="1"/>
  <c r="AH130" i="27"/>
  <c r="AZ130" i="27"/>
  <c r="BD130" i="27" s="1"/>
  <c r="AD130" i="27"/>
  <c r="Z130" i="27"/>
  <c r="P130" i="27"/>
  <c r="R130" i="27" s="1"/>
  <c r="G293" i="26" a="1"/>
  <c r="G293" i="26" s="1"/>
  <c r="I293" i="26" a="1"/>
  <c r="I293" i="26" s="1"/>
  <c r="U293" i="26" s="1"/>
  <c r="F293" i="26" a="1"/>
  <c r="F293" i="26" s="1"/>
  <c r="M293" i="26" a="1"/>
  <c r="M293" i="26" s="1"/>
  <c r="L293" i="26" a="1"/>
  <c r="L293" i="26" s="1"/>
  <c r="X293" i="26" s="1"/>
  <c r="J293" i="26" a="1"/>
  <c r="J293" i="26" s="1"/>
  <c r="V293" i="26" s="1"/>
  <c r="K293" i="26" a="1"/>
  <c r="K293" i="26" s="1"/>
  <c r="W293" i="26" s="1"/>
  <c r="H293" i="26" a="1"/>
  <c r="H293" i="26" s="1"/>
  <c r="T293" i="26" s="1"/>
  <c r="AA132" i="28"/>
  <c r="AF132" i="28" s="1"/>
  <c r="X132" i="28"/>
  <c r="AC132" i="28" s="1"/>
  <c r="Y132" i="28"/>
  <c r="AD132" i="28" s="1"/>
  <c r="BU133" i="28"/>
  <c r="AT133" i="28"/>
  <c r="AU133" i="28"/>
  <c r="AL133" i="28"/>
  <c r="AM133" i="28"/>
  <c r="BJ133" i="28"/>
  <c r="BK133" i="28"/>
  <c r="BG133" i="28"/>
  <c r="BQ133" i="28"/>
  <c r="BB133" i="28"/>
  <c r="BC133" i="28"/>
  <c r="BO133" i="28"/>
  <c r="AS133" i="28"/>
  <c r="BF133" i="28"/>
  <c r="BR133" i="28"/>
  <c r="AH133" i="28"/>
  <c r="AK133" i="28"/>
  <c r="AI133" i="28"/>
  <c r="AP133" i="28"/>
  <c r="BI133" i="28"/>
  <c r="BS133" i="28"/>
  <c r="BN132" i="28"/>
  <c r="AR133" i="28"/>
  <c r="BP133" i="28"/>
  <c r="BA133" i="28"/>
  <c r="AX133" i="28"/>
  <c r="AJ133" i="28"/>
  <c r="AY133" i="28"/>
  <c r="AN133" i="28"/>
  <c r="BT133" i="28"/>
  <c r="BL133" i="28"/>
  <c r="BD133" i="28"/>
  <c r="AQ133" i="28"/>
  <c r="AV133" i="28"/>
  <c r="I293" i="39" a="1"/>
  <c r="I293" i="39" s="1"/>
  <c r="M293" i="39" a="1"/>
  <c r="M293" i="39" s="1"/>
  <c r="J293" i="39" a="1"/>
  <c r="J293" i="39" s="1"/>
  <c r="H293" i="39" a="1"/>
  <c r="H293" i="39" s="1"/>
  <c r="L293" i="39" a="1"/>
  <c r="L293" i="39" s="1"/>
  <c r="K293" i="39" a="1"/>
  <c r="K293" i="39" s="1"/>
  <c r="F293" i="39" a="1"/>
  <c r="F293" i="39" s="1"/>
  <c r="G293" i="39" a="1"/>
  <c r="G293" i="39" s="1"/>
  <c r="AF129" i="27"/>
  <c r="AI129" i="27"/>
  <c r="AG129" i="27"/>
  <c r="AE129" i="27"/>
  <c r="AC129" i="27" s="1"/>
  <c r="AB129" i="27"/>
  <c r="AW129" i="27" s="1"/>
  <c r="AG136" i="9" a="1"/>
  <c r="AG136" i="9" s="1"/>
  <c r="Y293" i="26" l="1"/>
  <c r="AK293" i="26" s="1"/>
  <c r="N293" i="39"/>
  <c r="O293" i="39" s="1"/>
  <c r="L136" i="9" s="1"/>
  <c r="K133" i="28" s="1"/>
  <c r="AJ138" i="9"/>
  <c r="M133" i="9"/>
  <c r="M130" i="28" s="1"/>
  <c r="BG130" i="27"/>
  <c r="BW133" i="28" s="1"/>
  <c r="W130" i="27"/>
  <c r="T130" i="27"/>
  <c r="H130" i="27"/>
  <c r="I134" i="9"/>
  <c r="AR128" i="27"/>
  <c r="AS128" i="27" s="1"/>
  <c r="AT128" i="27" s="1"/>
  <c r="AO128" i="27"/>
  <c r="C295" i="39"/>
  <c r="E132" i="27"/>
  <c r="AF138" i="9"/>
  <c r="AD138" i="9"/>
  <c r="K138" i="9"/>
  <c r="F138" i="9"/>
  <c r="C295" i="26"/>
  <c r="G138" i="9" a="1"/>
  <c r="G138" i="9" s="1"/>
  <c r="J135" i="28" s="1"/>
  <c r="AM138" i="9"/>
  <c r="D138" i="9"/>
  <c r="A138" i="9" s="1"/>
  <c r="AL138" i="9"/>
  <c r="U134" i="28" a="1"/>
  <c r="U134" i="28" s="1"/>
  <c r="S134" i="28" a="1"/>
  <c r="S134" i="28" s="1"/>
  <c r="W134" i="28" a="1"/>
  <c r="W134" i="28" s="1"/>
  <c r="O134" i="28" a="1"/>
  <c r="O134" i="28" s="1"/>
  <c r="Q134" i="28" a="1"/>
  <c r="Q134" i="28" s="1"/>
  <c r="CC134" i="28"/>
  <c r="U129" i="27"/>
  <c r="G129" i="27" s="1"/>
  <c r="J135" i="9" s="1"/>
  <c r="I129" i="27"/>
  <c r="G294" i="26" a="1"/>
  <c r="G294" i="26" s="1"/>
  <c r="F294" i="26" a="1"/>
  <c r="F294" i="26" s="1"/>
  <c r="L294" i="26" a="1"/>
  <c r="L294" i="26" s="1"/>
  <c r="X294" i="26" s="1"/>
  <c r="M294" i="26" a="1"/>
  <c r="M294" i="26" s="1"/>
  <c r="J294" i="26" a="1"/>
  <c r="J294" i="26" s="1"/>
  <c r="V294" i="26" s="1"/>
  <c r="I294" i="26" a="1"/>
  <c r="I294" i="26" s="1"/>
  <c r="U294" i="26" s="1"/>
  <c r="K294" i="26" a="1"/>
  <c r="K294" i="26" s="1"/>
  <c r="W294" i="26" s="1"/>
  <c r="H294" i="26" a="1"/>
  <c r="H294" i="26" s="1"/>
  <c r="T294" i="26" s="1"/>
  <c r="AG137" i="9" a="1"/>
  <c r="AG137" i="9" s="1"/>
  <c r="H134" i="28"/>
  <c r="AH137" i="9"/>
  <c r="AI137" i="9" s="1"/>
  <c r="AL131" i="27"/>
  <c r="X130" i="27"/>
  <c r="AV130" i="27" s="1"/>
  <c r="AA130" i="27"/>
  <c r="Y130" i="27" s="1"/>
  <c r="AD131" i="27"/>
  <c r="BA131" i="27"/>
  <c r="BE131" i="27" s="1"/>
  <c r="Q131" i="27"/>
  <c r="S131" i="27" s="1"/>
  <c r="D131" i="27"/>
  <c r="AH131" i="27"/>
  <c r="AY131" i="27"/>
  <c r="BC131" i="27" s="1"/>
  <c r="Z131" i="27"/>
  <c r="AZ131" i="27"/>
  <c r="BD131" i="27" s="1"/>
  <c r="V131" i="27"/>
  <c r="AP131" i="27"/>
  <c r="P131" i="27"/>
  <c r="R131" i="27" s="1"/>
  <c r="X133" i="28"/>
  <c r="AC133" i="28" s="1"/>
  <c r="Y133" i="28"/>
  <c r="AD133" i="28" s="1"/>
  <c r="AA133" i="28"/>
  <c r="AF133" i="28" s="1"/>
  <c r="AK130" i="27"/>
  <c r="AE136" i="9"/>
  <c r="AJ130" i="27" s="1"/>
  <c r="AE130" i="27"/>
  <c r="AC130" i="27" s="1"/>
  <c r="AB130" i="27"/>
  <c r="AW130" i="27" s="1"/>
  <c r="AL134" i="28"/>
  <c r="AU134" i="28"/>
  <c r="AY134" i="28"/>
  <c r="BG134" i="28"/>
  <c r="BO134" i="28"/>
  <c r="BQ134" i="28"/>
  <c r="BN133" i="28"/>
  <c r="AK134" i="28"/>
  <c r="BS134" i="28"/>
  <c r="BD134" i="28"/>
  <c r="BB134" i="28"/>
  <c r="BJ134" i="28"/>
  <c r="AT134" i="28"/>
  <c r="BF134" i="28"/>
  <c r="AX134" i="28"/>
  <c r="BU134" i="28"/>
  <c r="AI134" i="28"/>
  <c r="AQ134" i="28"/>
  <c r="BA134" i="28"/>
  <c r="BI134" i="28"/>
  <c r="AN134" i="28"/>
  <c r="BR134" i="28"/>
  <c r="BC134" i="28"/>
  <c r="BP134" i="28"/>
  <c r="AH134" i="28"/>
  <c r="BT134" i="28"/>
  <c r="AR134" i="28"/>
  <c r="AV134" i="28"/>
  <c r="AP134" i="28"/>
  <c r="AS134" i="28"/>
  <c r="BK134" i="28"/>
  <c r="AM134" i="28"/>
  <c r="BL134" i="28"/>
  <c r="AJ134" i="28"/>
  <c r="AI130" i="27"/>
  <c r="AG130" i="27" s="1"/>
  <c r="AF130" i="27"/>
  <c r="AU129" i="27"/>
  <c r="F129" i="27"/>
  <c r="AX129" i="27"/>
  <c r="K294" i="39" a="1"/>
  <c r="K294" i="39" s="1"/>
  <c r="I294" i="39" a="1"/>
  <c r="I294" i="39" s="1"/>
  <c r="H294" i="39" a="1"/>
  <c r="H294" i="39" s="1"/>
  <c r="L294" i="39" a="1"/>
  <c r="L294" i="39" s="1"/>
  <c r="M294" i="39" a="1"/>
  <c r="M294" i="39" s="1"/>
  <c r="J294" i="39" a="1"/>
  <c r="J294" i="39" s="1"/>
  <c r="F294" i="39" a="1"/>
  <c r="F294" i="39" s="1"/>
  <c r="G294" i="39" a="1"/>
  <c r="G294" i="39" s="1"/>
  <c r="Y294" i="26" l="1"/>
  <c r="AK294" i="26" s="1"/>
  <c r="AM130" i="27"/>
  <c r="AN130" i="27" s="1"/>
  <c r="AG138" i="9" a="1"/>
  <c r="AG138" i="9" s="1"/>
  <c r="AK132" i="27" s="1"/>
  <c r="M134" i="9"/>
  <c r="M131" i="28" s="1"/>
  <c r="N294" i="39"/>
  <c r="O294" i="39" s="1"/>
  <c r="L137" i="9" s="1"/>
  <c r="K134" i="28" s="1"/>
  <c r="X131" i="27"/>
  <c r="AV131" i="27" s="1"/>
  <c r="AA131" i="27"/>
  <c r="Y131" i="27" s="1"/>
  <c r="BG131" i="27"/>
  <c r="BW134" i="28" s="1"/>
  <c r="AF131" i="27"/>
  <c r="AI131" i="27"/>
  <c r="AG131" i="27" s="1"/>
  <c r="AA134" i="28"/>
  <c r="AF134" i="28" s="1"/>
  <c r="Y134" i="28"/>
  <c r="AD134" i="28" s="1"/>
  <c r="X134" i="28"/>
  <c r="AC134" i="28" s="1"/>
  <c r="BC135" i="28"/>
  <c r="BG135" i="28"/>
  <c r="AS135" i="28"/>
  <c r="AR135" i="28"/>
  <c r="BP135" i="28"/>
  <c r="AP135" i="28"/>
  <c r="AY135" i="28"/>
  <c r="BA135" i="28"/>
  <c r="BB135" i="28"/>
  <c r="BJ135" i="28"/>
  <c r="AX135" i="28"/>
  <c r="BS135" i="28"/>
  <c r="BN134" i="28"/>
  <c r="AK135" i="28"/>
  <c r="AH135" i="28"/>
  <c r="BI135" i="28"/>
  <c r="AN135" i="28"/>
  <c r="AL135" i="28"/>
  <c r="BF135" i="28"/>
  <c r="AM135" i="28"/>
  <c r="AJ135" i="28"/>
  <c r="AI135" i="28"/>
  <c r="AQ135" i="28"/>
  <c r="AT135" i="28"/>
  <c r="AU135" i="28"/>
  <c r="BO135" i="28"/>
  <c r="BQ135" i="28"/>
  <c r="BT135" i="28"/>
  <c r="AV135" i="28"/>
  <c r="BU135" i="28"/>
  <c r="BL135" i="28"/>
  <c r="BR135" i="28"/>
  <c r="BD135" i="28"/>
  <c r="BK135" i="28"/>
  <c r="R20" i="28"/>
  <c r="R17" i="28"/>
  <c r="R18" i="28"/>
  <c r="R19" i="28"/>
  <c r="R21" i="28"/>
  <c r="BV135" i="28" s="1"/>
  <c r="H295" i="26" a="1"/>
  <c r="H295" i="26" s="1"/>
  <c r="T295" i="26" s="1"/>
  <c r="J295" i="26" a="1"/>
  <c r="J295" i="26" s="1"/>
  <c r="V295" i="26" s="1"/>
  <c r="K295" i="26" a="1"/>
  <c r="K295" i="26" s="1"/>
  <c r="W295" i="26" s="1"/>
  <c r="L295" i="26" a="1"/>
  <c r="L295" i="26" s="1"/>
  <c r="X295" i="26" s="1"/>
  <c r="G295" i="26" a="1"/>
  <c r="G295" i="26" s="1"/>
  <c r="F295" i="26" a="1"/>
  <c r="F295" i="26" s="1"/>
  <c r="M295" i="26" a="1"/>
  <c r="M295" i="26" s="1"/>
  <c r="J24" i="26"/>
  <c r="J47" i="26"/>
  <c r="J46" i="26"/>
  <c r="J25" i="26"/>
  <c r="J49" i="26"/>
  <c r="J42" i="26"/>
  <c r="J28" i="26"/>
  <c r="J27" i="26"/>
  <c r="J44" i="26"/>
  <c r="J48" i="26"/>
  <c r="J30" i="26"/>
  <c r="J45" i="26"/>
  <c r="J43" i="26"/>
  <c r="J23" i="26"/>
  <c r="J26" i="26"/>
  <c r="I295" i="26" a="1"/>
  <c r="I295" i="26" s="1"/>
  <c r="U295" i="26" s="1"/>
  <c r="J29" i="26"/>
  <c r="I135" i="9"/>
  <c r="AR129" i="27"/>
  <c r="AS129" i="27" s="1"/>
  <c r="AT129" i="27" s="1"/>
  <c r="AO129" i="27"/>
  <c r="AK131" i="27"/>
  <c r="AE137" i="9"/>
  <c r="AJ131" i="27" s="1"/>
  <c r="AD132" i="27"/>
  <c r="D132" i="27"/>
  <c r="BB132" i="27"/>
  <c r="BF132" i="27" s="1"/>
  <c r="AH132" i="27"/>
  <c r="AZ132" i="27"/>
  <c r="BD132" i="27" s="1"/>
  <c r="Q132" i="27"/>
  <c r="S132" i="27" s="1"/>
  <c r="V132" i="27"/>
  <c r="AY132" i="27"/>
  <c r="BC132" i="27" s="1"/>
  <c r="AP132" i="27"/>
  <c r="Z132" i="27"/>
  <c r="P132" i="27"/>
  <c r="R132" i="27" s="1"/>
  <c r="BA132" i="27"/>
  <c r="BE132" i="27" s="1"/>
  <c r="AU130" i="27"/>
  <c r="F130" i="27"/>
  <c r="CC135" i="28"/>
  <c r="U135" i="28" a="1"/>
  <c r="U135" i="28" s="1"/>
  <c r="W135" i="28" a="1"/>
  <c r="W135" i="28" s="1"/>
  <c r="O135" i="28" a="1"/>
  <c r="O135" i="28" s="1"/>
  <c r="S135" i="28" a="1"/>
  <c r="S135" i="28" s="1"/>
  <c r="Q135" i="28" a="1"/>
  <c r="Q135" i="28" s="1"/>
  <c r="H131" i="27"/>
  <c r="W131" i="27"/>
  <c r="T131" i="27"/>
  <c r="H135" i="28"/>
  <c r="AL132" i="27"/>
  <c r="AH138" i="9"/>
  <c r="AI138" i="9" s="1"/>
  <c r="I130" i="27"/>
  <c r="U130" i="27"/>
  <c r="G130" i="27" s="1"/>
  <c r="J136" i="9" s="1"/>
  <c r="AX130" i="27"/>
  <c r="I295" i="39" a="1"/>
  <c r="I295" i="39" s="1"/>
  <c r="M295" i="39" a="1"/>
  <c r="M295" i="39" s="1"/>
  <c r="L295" i="39" a="1"/>
  <c r="L295" i="39" s="1"/>
  <c r="H295" i="39" a="1"/>
  <c r="H295" i="39" s="1"/>
  <c r="K295" i="39" a="1"/>
  <c r="K295" i="39" s="1"/>
  <c r="J295" i="39" a="1"/>
  <c r="J295" i="39" s="1"/>
  <c r="F295" i="39" a="1"/>
  <c r="F295" i="39" s="1"/>
  <c r="G295" i="39" a="1"/>
  <c r="G295" i="39" s="1"/>
  <c r="AB131" i="27"/>
  <c r="AW131" i="27" s="1"/>
  <c r="AE131" i="27"/>
  <c r="AC131" i="27" s="1"/>
  <c r="Y295" i="26" l="1"/>
  <c r="AK295" i="26" s="1"/>
  <c r="AE138" i="9"/>
  <c r="AJ132" i="27" s="1"/>
  <c r="AM132" i="27" s="1"/>
  <c r="AN132" i="27" s="1"/>
  <c r="AM131" i="27"/>
  <c r="AN131" i="27" s="1"/>
  <c r="N295" i="39"/>
  <c r="O295" i="39" s="1"/>
  <c r="L138" i="9" s="1"/>
  <c r="K135" i="28" s="1"/>
  <c r="M135" i="9"/>
  <c r="M132" i="28" s="1"/>
  <c r="Y135" i="28"/>
  <c r="AD135" i="28" s="1"/>
  <c r="X135" i="28"/>
  <c r="AC135" i="28" s="1"/>
  <c r="AA135" i="28"/>
  <c r="AF135" i="28" s="1"/>
  <c r="AX131" i="27"/>
  <c r="X132" i="27"/>
  <c r="AV132" i="27" s="1"/>
  <c r="AA132" i="27"/>
  <c r="Y132" i="27" s="1"/>
  <c r="I136" i="9"/>
  <c r="AR130" i="27"/>
  <c r="AS130" i="27" s="1"/>
  <c r="AT130" i="27" s="1"/>
  <c r="BV129" i="28"/>
  <c r="BX129" i="28" s="1"/>
  <c r="BY129" i="28" s="1"/>
  <c r="CE129" i="28" s="1"/>
  <c r="BV130" i="28"/>
  <c r="BX130" i="28" s="1"/>
  <c r="BY130" i="28" s="1"/>
  <c r="CE130" i="28" s="1"/>
  <c r="BV131" i="28"/>
  <c r="BX131" i="28" s="1"/>
  <c r="BY131" i="28" s="1"/>
  <c r="CE131" i="28" s="1"/>
  <c r="BV132" i="28"/>
  <c r="BX132" i="28" s="1"/>
  <c r="BY132" i="28" s="1"/>
  <c r="CE132" i="28" s="1"/>
  <c r="BV133" i="28"/>
  <c r="BX133" i="28" s="1"/>
  <c r="BY133" i="28" s="1"/>
  <c r="CE133" i="28" s="1"/>
  <c r="BV134" i="28"/>
  <c r="BX134" i="28" s="1"/>
  <c r="BY134" i="28" s="1"/>
  <c r="CE134" i="28" s="1"/>
  <c r="BD81" i="28"/>
  <c r="BX81" i="28" s="1"/>
  <c r="BY81" i="28" s="1"/>
  <c r="CE81" i="28" s="1"/>
  <c r="BD82" i="28"/>
  <c r="BX82" i="28" s="1"/>
  <c r="BY82" i="28" s="1"/>
  <c r="CE82" i="28" s="1"/>
  <c r="BD83" i="28"/>
  <c r="BX83" i="28" s="1"/>
  <c r="BY83" i="28" s="1"/>
  <c r="CE83" i="28" s="1"/>
  <c r="BD84" i="28"/>
  <c r="BX84" i="28" s="1"/>
  <c r="BY84" i="28" s="1"/>
  <c r="CE84" i="28" s="1"/>
  <c r="BD85" i="28"/>
  <c r="BX85" i="28" s="1"/>
  <c r="BY85" i="28" s="1"/>
  <c r="CE85" i="28" s="1"/>
  <c r="BD86" i="28"/>
  <c r="BX86" i="28" s="1"/>
  <c r="BY86" i="28" s="1"/>
  <c r="CE86" i="28" s="1"/>
  <c r="BD87" i="28"/>
  <c r="BX87" i="28" s="1"/>
  <c r="BY87" i="28" s="1"/>
  <c r="CE87" i="28" s="1"/>
  <c r="BD88" i="28"/>
  <c r="BX88" i="28" s="1"/>
  <c r="BY88" i="28" s="1"/>
  <c r="CE88" i="28" s="1"/>
  <c r="BD89" i="28"/>
  <c r="BX89" i="28" s="1"/>
  <c r="BY89" i="28" s="1"/>
  <c r="CE89" i="28" s="1"/>
  <c r="BD90" i="28"/>
  <c r="BX90" i="28" s="1"/>
  <c r="BY90" i="28" s="1"/>
  <c r="CE90" i="28" s="1"/>
  <c r="BD91" i="28"/>
  <c r="BX91" i="28" s="1"/>
  <c r="BY91" i="28" s="1"/>
  <c r="CE91" i="28" s="1"/>
  <c r="BD92" i="28"/>
  <c r="BX92" i="28" s="1"/>
  <c r="BY92" i="28" s="1"/>
  <c r="CE92" i="28" s="1"/>
  <c r="BD93" i="28"/>
  <c r="BX93" i="28" s="1"/>
  <c r="BY93" i="28" s="1"/>
  <c r="CE93" i="28" s="1"/>
  <c r="BD94" i="28"/>
  <c r="BX94" i="28" s="1"/>
  <c r="BY94" i="28" s="1"/>
  <c r="CE94" i="28" s="1"/>
  <c r="BD95" i="28"/>
  <c r="BX95" i="28" s="1"/>
  <c r="BY95" i="28" s="1"/>
  <c r="CE95" i="28" s="1"/>
  <c r="BD96" i="28"/>
  <c r="BX96" i="28" s="1"/>
  <c r="BY96" i="28" s="1"/>
  <c r="CE96" i="28" s="1"/>
  <c r="BD97" i="28"/>
  <c r="BX97" i="28" s="1"/>
  <c r="BY97" i="28" s="1"/>
  <c r="CE97" i="28" s="1"/>
  <c r="BD98" i="28"/>
  <c r="BX98" i="28" s="1"/>
  <c r="BY98" i="28" s="1"/>
  <c r="CE98" i="28" s="1"/>
  <c r="BD99" i="28"/>
  <c r="BX99" i="28" s="1"/>
  <c r="BY99" i="28" s="1"/>
  <c r="CE99" i="28" s="1"/>
  <c r="BD100" i="28"/>
  <c r="BX100" i="28" s="1"/>
  <c r="BY100" i="28" s="1"/>
  <c r="CE100" i="28" s="1"/>
  <c r="BD101" i="28"/>
  <c r="BX101" i="28" s="1"/>
  <c r="BY101" i="28" s="1"/>
  <c r="CE101" i="28" s="1"/>
  <c r="BD102" i="28"/>
  <c r="BX102" i="28" s="1"/>
  <c r="BY102" i="28" s="1"/>
  <c r="CE102" i="28" s="1"/>
  <c r="BD103" i="28"/>
  <c r="BX103" i="28" s="1"/>
  <c r="BY103" i="28" s="1"/>
  <c r="CE103" i="28" s="1"/>
  <c r="BX135" i="28"/>
  <c r="BY135" i="28" s="1"/>
  <c r="CE135" i="28" s="1"/>
  <c r="AI132" i="27"/>
  <c r="AG132" i="27"/>
  <c r="AF132" i="27"/>
  <c r="AO130" i="27"/>
  <c r="U131" i="27"/>
  <c r="G131" i="27" s="1"/>
  <c r="J137" i="9" s="1"/>
  <c r="I131" i="27"/>
  <c r="H132" i="27"/>
  <c r="W132" i="27"/>
  <c r="T132" i="27"/>
  <c r="AV60" i="28"/>
  <c r="BX60" i="28" s="1"/>
  <c r="BY60" i="28" s="1"/>
  <c r="CE60" i="28" s="1"/>
  <c r="AV58" i="28"/>
  <c r="BX58" i="28" s="1"/>
  <c r="BY58" i="28" s="1"/>
  <c r="CE58" i="28" s="1"/>
  <c r="AV59" i="28"/>
  <c r="BX59" i="28" s="1"/>
  <c r="BY59" i="28" s="1"/>
  <c r="CE59" i="28" s="1"/>
  <c r="AV61" i="28"/>
  <c r="BX61" i="28" s="1"/>
  <c r="BY61" i="28" s="1"/>
  <c r="CE61" i="28" s="1"/>
  <c r="AV62" i="28"/>
  <c r="BX62" i="28" s="1"/>
  <c r="BY62" i="28" s="1"/>
  <c r="CE62" i="28" s="1"/>
  <c r="AV63" i="28"/>
  <c r="BX63" i="28" s="1"/>
  <c r="BY63" i="28" s="1"/>
  <c r="CE63" i="28" s="1"/>
  <c r="AV64" i="28"/>
  <c r="BX64" i="28" s="1"/>
  <c r="BY64" i="28" s="1"/>
  <c r="CE64" i="28" s="1"/>
  <c r="AV65" i="28"/>
  <c r="BX65" i="28" s="1"/>
  <c r="BY65" i="28" s="1"/>
  <c r="CE65" i="28" s="1"/>
  <c r="AV66" i="28"/>
  <c r="BX66" i="28" s="1"/>
  <c r="BY66" i="28" s="1"/>
  <c r="CE66" i="28" s="1"/>
  <c r="AV67" i="28"/>
  <c r="BX67" i="28" s="1"/>
  <c r="BY67" i="28" s="1"/>
  <c r="CE67" i="28" s="1"/>
  <c r="AV68" i="28"/>
  <c r="BX68" i="28" s="1"/>
  <c r="BY68" i="28" s="1"/>
  <c r="CE68" i="28" s="1"/>
  <c r="AV69" i="28"/>
  <c r="BX69" i="28" s="1"/>
  <c r="BY69" i="28" s="1"/>
  <c r="CE69" i="28" s="1"/>
  <c r="AV70" i="28"/>
  <c r="BX70" i="28" s="1"/>
  <c r="BY70" i="28" s="1"/>
  <c r="CE70" i="28" s="1"/>
  <c r="AV71" i="28"/>
  <c r="BX71" i="28" s="1"/>
  <c r="BY71" i="28" s="1"/>
  <c r="CE71" i="28" s="1"/>
  <c r="AV72" i="28"/>
  <c r="BX72" i="28" s="1"/>
  <c r="BY72" i="28" s="1"/>
  <c r="CE72" i="28" s="1"/>
  <c r="AV73" i="28"/>
  <c r="BX73" i="28" s="1"/>
  <c r="BY73" i="28" s="1"/>
  <c r="CE73" i="28" s="1"/>
  <c r="AV74" i="28"/>
  <c r="BX74" i="28" s="1"/>
  <c r="BY74" i="28" s="1"/>
  <c r="CE74" i="28" s="1"/>
  <c r="AV75" i="28"/>
  <c r="BX75" i="28" s="1"/>
  <c r="BY75" i="28" s="1"/>
  <c r="CE75" i="28" s="1"/>
  <c r="AV76" i="28"/>
  <c r="BX76" i="28" s="1"/>
  <c r="BY76" i="28" s="1"/>
  <c r="CE76" i="28" s="1"/>
  <c r="AV77" i="28"/>
  <c r="BX77" i="28" s="1"/>
  <c r="BY77" i="28" s="1"/>
  <c r="CE77" i="28" s="1"/>
  <c r="AV78" i="28"/>
  <c r="BX78" i="28" s="1"/>
  <c r="BY78" i="28" s="1"/>
  <c r="CE78" i="28" s="1"/>
  <c r="AV79" i="28"/>
  <c r="BX79" i="28" s="1"/>
  <c r="BY79" i="28" s="1"/>
  <c r="CE79" i="28" s="1"/>
  <c r="BL125" i="28"/>
  <c r="BX125" i="28" s="1"/>
  <c r="BY125" i="28" s="1"/>
  <c r="CE125" i="28" s="1"/>
  <c r="BL105" i="28"/>
  <c r="BX105" i="28" s="1"/>
  <c r="BY105" i="28" s="1"/>
  <c r="CE105" i="28" s="1"/>
  <c r="BL106" i="28"/>
  <c r="BX106" i="28" s="1"/>
  <c r="BY106" i="28" s="1"/>
  <c r="CE106" i="28" s="1"/>
  <c r="BL107" i="28"/>
  <c r="BX107" i="28" s="1"/>
  <c r="BY107" i="28" s="1"/>
  <c r="CE107" i="28" s="1"/>
  <c r="BL108" i="28"/>
  <c r="BX108" i="28" s="1"/>
  <c r="BY108" i="28" s="1"/>
  <c r="CE108" i="28" s="1"/>
  <c r="BL109" i="28"/>
  <c r="BX109" i="28" s="1"/>
  <c r="BY109" i="28" s="1"/>
  <c r="CE109" i="28" s="1"/>
  <c r="BL110" i="28"/>
  <c r="BX110" i="28" s="1"/>
  <c r="BY110" i="28" s="1"/>
  <c r="CE110" i="28" s="1"/>
  <c r="BL111" i="28"/>
  <c r="BX111" i="28" s="1"/>
  <c r="BY111" i="28" s="1"/>
  <c r="CE111" i="28" s="1"/>
  <c r="BL112" i="28"/>
  <c r="BX112" i="28" s="1"/>
  <c r="BY112" i="28" s="1"/>
  <c r="CE112" i="28" s="1"/>
  <c r="BL113" i="28"/>
  <c r="BX113" i="28" s="1"/>
  <c r="BY113" i="28" s="1"/>
  <c r="CE113" i="28" s="1"/>
  <c r="BL114" i="28"/>
  <c r="BX114" i="28" s="1"/>
  <c r="BY114" i="28" s="1"/>
  <c r="CE114" i="28" s="1"/>
  <c r="BL115" i="28"/>
  <c r="BX115" i="28" s="1"/>
  <c r="BY115" i="28" s="1"/>
  <c r="CE115" i="28" s="1"/>
  <c r="BL116" i="28"/>
  <c r="BX116" i="28" s="1"/>
  <c r="BY116" i="28" s="1"/>
  <c r="CE116" i="28" s="1"/>
  <c r="BL117" i="28"/>
  <c r="BX117" i="28" s="1"/>
  <c r="BY117" i="28" s="1"/>
  <c r="CE117" i="28" s="1"/>
  <c r="BL118" i="28"/>
  <c r="BX118" i="28" s="1"/>
  <c r="BY118" i="28" s="1"/>
  <c r="CE118" i="28" s="1"/>
  <c r="BL119" i="28"/>
  <c r="BX119" i="28" s="1"/>
  <c r="BY119" i="28" s="1"/>
  <c r="CE119" i="28" s="1"/>
  <c r="BL120" i="28"/>
  <c r="BX120" i="28" s="1"/>
  <c r="BY120" i="28" s="1"/>
  <c r="CE120" i="28" s="1"/>
  <c r="BL121" i="28"/>
  <c r="BX121" i="28" s="1"/>
  <c r="BY121" i="28" s="1"/>
  <c r="CE121" i="28" s="1"/>
  <c r="BL122" i="28"/>
  <c r="BX122" i="28" s="1"/>
  <c r="BY122" i="28" s="1"/>
  <c r="CE122" i="28" s="1"/>
  <c r="BL123" i="28"/>
  <c r="BX123" i="28" s="1"/>
  <c r="BY123" i="28" s="1"/>
  <c r="CE123" i="28" s="1"/>
  <c r="BL124" i="28"/>
  <c r="BX124" i="28" s="1"/>
  <c r="BY124" i="28" s="1"/>
  <c r="CE124" i="28" s="1"/>
  <c r="BL126" i="28"/>
  <c r="BX126" i="28" s="1"/>
  <c r="BY126" i="28" s="1"/>
  <c r="CE126" i="28" s="1"/>
  <c r="BL127" i="28"/>
  <c r="BX127" i="28" s="1"/>
  <c r="BY127" i="28" s="1"/>
  <c r="CE127" i="28" s="1"/>
  <c r="AE132" i="27"/>
  <c r="AC132" i="27" s="1"/>
  <c r="AB132" i="27"/>
  <c r="AW132" i="27" s="1"/>
  <c r="AU131" i="27"/>
  <c r="F131" i="27"/>
  <c r="BG132" i="27"/>
  <c r="BW135" i="28" s="1"/>
  <c r="M136" i="9" l="1"/>
  <c r="M133" i="28" s="1"/>
  <c r="AX132" i="27"/>
  <c r="E294" i="26"/>
  <c r="E294" i="39"/>
  <c r="E231" i="26"/>
  <c r="E231" i="39"/>
  <c r="E287" i="39"/>
  <c r="E287" i="26"/>
  <c r="E268" i="26"/>
  <c r="E268" i="39"/>
  <c r="E283" i="26"/>
  <c r="E283" i="39"/>
  <c r="E227" i="26"/>
  <c r="E227" i="39"/>
  <c r="E266" i="39"/>
  <c r="E266" i="26"/>
  <c r="E250" i="26"/>
  <c r="E250" i="39"/>
  <c r="E225" i="26"/>
  <c r="E225" i="39"/>
  <c r="E285" i="26"/>
  <c r="E285" i="39"/>
  <c r="E295" i="26"/>
  <c r="E295" i="39"/>
  <c r="E239" i="26"/>
  <c r="E239" i="39"/>
  <c r="E278" i="26"/>
  <c r="E278" i="39"/>
  <c r="E237" i="26"/>
  <c r="E237" i="39"/>
  <c r="E219" i="39"/>
  <c r="E219" i="26"/>
  <c r="E260" i="26"/>
  <c r="E260" i="39"/>
  <c r="E244" i="39"/>
  <c r="E244" i="26"/>
  <c r="E230" i="39"/>
  <c r="E230" i="26"/>
  <c r="E291" i="26"/>
  <c r="E291" i="39"/>
  <c r="E267" i="26"/>
  <c r="E267" i="39"/>
  <c r="E265" i="39"/>
  <c r="E265" i="26"/>
  <c r="E280" i="26"/>
  <c r="E280" i="39"/>
  <c r="E279" i="26"/>
  <c r="E279" i="39"/>
  <c r="E263" i="39"/>
  <c r="E263" i="26"/>
  <c r="E262" i="26"/>
  <c r="E262" i="39"/>
  <c r="E261" i="39"/>
  <c r="E261" i="26"/>
  <c r="E218" i="26"/>
  <c r="E218" i="39"/>
  <c r="E259" i="26"/>
  <c r="E259" i="39"/>
  <c r="E243" i="39"/>
  <c r="E243" i="26"/>
  <c r="E271" i="39"/>
  <c r="E271" i="26"/>
  <c r="E254" i="26"/>
  <c r="E254" i="39"/>
  <c r="E229" i="26"/>
  <c r="E229" i="39"/>
  <c r="E228" i="39"/>
  <c r="E228" i="26"/>
  <c r="E289" i="39"/>
  <c r="E289" i="26"/>
  <c r="E249" i="26"/>
  <c r="E249" i="39"/>
  <c r="E221" i="26"/>
  <c r="E221" i="39"/>
  <c r="E274" i="39"/>
  <c r="E274" i="26"/>
  <c r="E258" i="26"/>
  <c r="E258" i="39"/>
  <c r="E242" i="26"/>
  <c r="E242" i="39"/>
  <c r="E293" i="39"/>
  <c r="E293" i="26"/>
  <c r="E292" i="26"/>
  <c r="E292" i="39"/>
  <c r="E269" i="26"/>
  <c r="E269" i="39"/>
  <c r="E284" i="26"/>
  <c r="E284" i="39"/>
  <c r="E290" i="39"/>
  <c r="E290" i="26"/>
  <c r="E251" i="39"/>
  <c r="E251" i="26"/>
  <c r="E224" i="39"/>
  <c r="E224" i="26"/>
  <c r="E248" i="26"/>
  <c r="E248" i="39"/>
  <c r="E223" i="39"/>
  <c r="E223" i="26"/>
  <c r="E238" i="26"/>
  <c r="E238" i="39"/>
  <c r="E246" i="26"/>
  <c r="E246" i="39"/>
  <c r="E245" i="39"/>
  <c r="E245" i="26"/>
  <c r="E276" i="26"/>
  <c r="E276" i="39"/>
  <c r="I137" i="9"/>
  <c r="AR131" i="27"/>
  <c r="AS131" i="27" s="1"/>
  <c r="AT131" i="27" s="1"/>
  <c r="E235" i="26"/>
  <c r="E235" i="39"/>
  <c r="E234" i="39"/>
  <c r="E234" i="26"/>
  <c r="E273" i="26"/>
  <c r="E273" i="39"/>
  <c r="E233" i="26"/>
  <c r="E233" i="39"/>
  <c r="F132" i="27"/>
  <c r="AU132" i="27"/>
  <c r="E257" i="39"/>
  <c r="E257" i="26"/>
  <c r="E241" i="39"/>
  <c r="E241" i="26"/>
  <c r="E255" i="26"/>
  <c r="E255" i="39"/>
  <c r="E270" i="26"/>
  <c r="E270" i="39"/>
  <c r="E286" i="26"/>
  <c r="E286" i="39"/>
  <c r="E253" i="26"/>
  <c r="E253" i="39"/>
  <c r="E252" i="39"/>
  <c r="E252" i="26"/>
  <c r="E282" i="26"/>
  <c r="E282" i="39"/>
  <c r="E226" i="26"/>
  <c r="E226" i="39"/>
  <c r="E281" i="26"/>
  <c r="E281" i="39"/>
  <c r="E247" i="26"/>
  <c r="E247" i="39"/>
  <c r="E222" i="39"/>
  <c r="E222" i="26"/>
  <c r="E277" i="39"/>
  <c r="E277" i="26"/>
  <c r="E236" i="26"/>
  <c r="E236" i="39"/>
  <c r="E275" i="39"/>
  <c r="E275" i="26"/>
  <c r="E220" i="39"/>
  <c r="E220" i="26"/>
  <c r="E272" i="26"/>
  <c r="E272" i="39"/>
  <c r="E232" i="39"/>
  <c r="E232" i="26"/>
  <c r="I132" i="27"/>
  <c r="U132" i="27"/>
  <c r="G132" i="27" s="1"/>
  <c r="J138" i="9" s="1"/>
  <c r="E256" i="39"/>
  <c r="E256" i="26"/>
  <c r="AO131" i="27"/>
  <c r="M137" i="9" l="1"/>
  <c r="M134" i="28" s="1"/>
  <c r="I138" i="9"/>
  <c r="AR132" i="27"/>
  <c r="AS132" i="27" s="1"/>
  <c r="AT132" i="27" s="1"/>
  <c r="AO132" i="27"/>
  <c r="M138" i="9" l="1"/>
  <c r="M135" i="28" s="1"/>
  <c r="AN53" i="28" l="1"/>
  <c r="BX53" i="28" s="1"/>
  <c r="BY53" i="28" s="1"/>
  <c r="CE53" i="28" s="1"/>
  <c r="AN50" i="28"/>
  <c r="BX50" i="28" s="1"/>
  <c r="BY50" i="28" s="1"/>
  <c r="CE50" i="28" s="1"/>
  <c r="AN56" i="28"/>
  <c r="BX56" i="28" s="1"/>
  <c r="BY56" i="28" s="1"/>
  <c r="CE56" i="28" s="1"/>
  <c r="AN52" i="28"/>
  <c r="BX52" i="28" s="1"/>
  <c r="BY52" i="28" s="1"/>
  <c r="CE52" i="28" s="1"/>
  <c r="AN51" i="28"/>
  <c r="BX51" i="28" s="1"/>
  <c r="BY51" i="28" s="1"/>
  <c r="CE51" i="28" s="1"/>
  <c r="AN54" i="28"/>
  <c r="BX54" i="28" s="1"/>
  <c r="BY54" i="28" s="1"/>
  <c r="CE54" i="28" s="1"/>
  <c r="AN49" i="28"/>
  <c r="BX49" i="28" s="1"/>
  <c r="BY49" i="28" s="1"/>
  <c r="AN55" i="28"/>
  <c r="BX55" i="28" s="1"/>
  <c r="BY55" i="28" s="1"/>
  <c r="CE55" i="28" s="1"/>
  <c r="AN48" i="28"/>
  <c r="BX48" i="28" s="1"/>
  <c r="BY48" i="28" s="1"/>
  <c r="CE48" i="28" l="1"/>
  <c r="E208" i="26" s="1"/>
  <c r="Y11" i="28" a="1"/>
  <c r="Y11" i="28" s="1"/>
  <c r="AA14" i="28" s="1"/>
  <c r="E211" i="39"/>
  <c r="E211" i="26"/>
  <c r="E216" i="39"/>
  <c r="E216" i="26"/>
  <c r="E213" i="39"/>
  <c r="E213" i="26"/>
  <c r="E215" i="39"/>
  <c r="E215" i="26"/>
  <c r="CE49" i="28"/>
  <c r="I33" i="28"/>
  <c r="M24" i="22" s="1"/>
  <c r="L11" i="22" s="1"/>
  <c r="Y4" i="28" a="1"/>
  <c r="Y4" i="28" s="1"/>
  <c r="AA6" i="28" s="1"/>
  <c r="Y7" i="28" a="1"/>
  <c r="Y7" i="28" s="1"/>
  <c r="AA10" i="28" s="1"/>
  <c r="Y15" i="28" a="1"/>
  <c r="Y15" i="28" s="1"/>
  <c r="AA18" i="28" s="1"/>
  <c r="E214" i="26"/>
  <c r="E214" i="39"/>
  <c r="E210" i="39"/>
  <c r="E210" i="26"/>
  <c r="E212" i="39"/>
  <c r="E212" i="26"/>
  <c r="I30" i="28"/>
  <c r="E208" i="39" l="1"/>
  <c r="D11" i="22"/>
  <c r="D10" i="22"/>
  <c r="D13" i="22"/>
  <c r="D12" i="22"/>
  <c r="D8" i="22"/>
  <c r="D9" i="22"/>
  <c r="D5" i="22"/>
  <c r="I27" i="28"/>
  <c r="CB52" i="28"/>
  <c r="CB125" i="28"/>
  <c r="CB97" i="28"/>
  <c r="CB70" i="28"/>
  <c r="CA126" i="28"/>
  <c r="CB81" i="28"/>
  <c r="CB63" i="28"/>
  <c r="CA73" i="28"/>
  <c r="CB53" i="28"/>
  <c r="CA82" i="28"/>
  <c r="CB112" i="28"/>
  <c r="CA70" i="28"/>
  <c r="CB61" i="28"/>
  <c r="CB111" i="28"/>
  <c r="CB113" i="28"/>
  <c r="CB116" i="28"/>
  <c r="CA54" i="28"/>
  <c r="CA79" i="28"/>
  <c r="CA120" i="28"/>
  <c r="CA129" i="28"/>
  <c r="CA50" i="28"/>
  <c r="CA90" i="28"/>
  <c r="CB90" i="28"/>
  <c r="CA67" i="28"/>
  <c r="CB131" i="28"/>
  <c r="CA87" i="28"/>
  <c r="CA104" i="28"/>
  <c r="CB57" i="28"/>
  <c r="CB80" i="28"/>
  <c r="CB127" i="28"/>
  <c r="CB55" i="28"/>
  <c r="CA53" i="28"/>
  <c r="CA138" i="28"/>
  <c r="CA77" i="28"/>
  <c r="CA131" i="28"/>
  <c r="CB67" i="28"/>
  <c r="CB95" i="28"/>
  <c r="CB74" i="28"/>
  <c r="CA119" i="28"/>
  <c r="CA76" i="28"/>
  <c r="CA57" i="28"/>
  <c r="CA84" i="28"/>
  <c r="CA56" i="28"/>
  <c r="CB68" i="28"/>
  <c r="CA141" i="28"/>
  <c r="CA81" i="28"/>
  <c r="CA128" i="28"/>
  <c r="CB141" i="28"/>
  <c r="CB124" i="28"/>
  <c r="CB87" i="28"/>
  <c r="CB96" i="28"/>
  <c r="CA123" i="28"/>
  <c r="CA99" i="28"/>
  <c r="CB120" i="28"/>
  <c r="CA136" i="28"/>
  <c r="CB64" i="28"/>
  <c r="CA115" i="28"/>
  <c r="CB138" i="28"/>
  <c r="CA49" i="28"/>
  <c r="CA118" i="28"/>
  <c r="CA109" i="28"/>
  <c r="CB83" i="28"/>
  <c r="CA85" i="28"/>
  <c r="CA72" i="28"/>
  <c r="CB106" i="28"/>
  <c r="CA133" i="28"/>
  <c r="CA55" i="28"/>
  <c r="CB137" i="28"/>
  <c r="CA132" i="28"/>
  <c r="CB134" i="28"/>
  <c r="CA100" i="28"/>
  <c r="CB89" i="28"/>
  <c r="CA60" i="28"/>
  <c r="CB108" i="28"/>
  <c r="CB115" i="28"/>
  <c r="CA96" i="28"/>
  <c r="CB118" i="28"/>
  <c r="CA98" i="28"/>
  <c r="CA117" i="28"/>
  <c r="CA97" i="28"/>
  <c r="CA108" i="28"/>
  <c r="CA58" i="28"/>
  <c r="CB56" i="28"/>
  <c r="CA78" i="28"/>
  <c r="CA130" i="28"/>
  <c r="CA140" i="28"/>
  <c r="CB93" i="28"/>
  <c r="CB66" i="28"/>
  <c r="CB49" i="28"/>
  <c r="CB126" i="28"/>
  <c r="CA135" i="28"/>
  <c r="CB58" i="28"/>
  <c r="CB65" i="28"/>
  <c r="CA51" i="28"/>
  <c r="CA68" i="28"/>
  <c r="CA125" i="28"/>
  <c r="CA92" i="28"/>
  <c r="CA80" i="28"/>
  <c r="CB94" i="28"/>
  <c r="CA52" i="28"/>
  <c r="CB109" i="28"/>
  <c r="CB107" i="28"/>
  <c r="CA103" i="28"/>
  <c r="CB48" i="28"/>
  <c r="CB72" i="28"/>
  <c r="CB92" i="28"/>
  <c r="CB91" i="28"/>
  <c r="CB59" i="28"/>
  <c r="CB75" i="28"/>
  <c r="CA59" i="28"/>
  <c r="CA107" i="28"/>
  <c r="CA106" i="28"/>
  <c r="CA116" i="28"/>
  <c r="CB104" i="28"/>
  <c r="CA86" i="28"/>
  <c r="CB132" i="28"/>
  <c r="CB110" i="28"/>
  <c r="CA113" i="28"/>
  <c r="CA75" i="28"/>
  <c r="CB121" i="28"/>
  <c r="CB76" i="28"/>
  <c r="M21" i="22"/>
  <c r="CA137" i="28"/>
  <c r="CB128" i="28"/>
  <c r="CB99" i="28"/>
  <c r="CB62" i="28"/>
  <c r="CB54" i="28"/>
  <c r="CB71" i="28"/>
  <c r="CB50" i="28"/>
  <c r="CB123" i="28"/>
  <c r="CB69" i="28"/>
  <c r="CB122" i="28"/>
  <c r="CB101" i="28"/>
  <c r="CA105" i="28"/>
  <c r="CA101" i="28"/>
  <c r="CA127" i="28"/>
  <c r="CB78" i="28"/>
  <c r="CA122" i="28"/>
  <c r="CA48" i="28"/>
  <c r="CB82" i="28"/>
  <c r="CB140" i="28"/>
  <c r="CB129" i="28"/>
  <c r="CB79" i="28"/>
  <c r="CA139" i="28"/>
  <c r="CB98" i="28"/>
  <c r="CA62" i="28"/>
  <c r="CA95" i="28"/>
  <c r="CB102" i="28"/>
  <c r="CA94" i="28"/>
  <c r="CB77" i="28"/>
  <c r="CB114" i="28"/>
  <c r="CA89" i="28"/>
  <c r="CA88" i="28"/>
  <c r="CA91" i="28"/>
  <c r="CA83" i="28"/>
  <c r="CB60" i="28"/>
  <c r="CB136" i="28"/>
  <c r="CB133" i="28"/>
  <c r="CB51" i="28"/>
  <c r="CA110" i="28"/>
  <c r="CA93" i="28"/>
  <c r="CA65" i="28"/>
  <c r="CB84" i="28"/>
  <c r="CB130" i="28"/>
  <c r="CB88" i="28"/>
  <c r="CB100" i="28"/>
  <c r="CA124" i="28"/>
  <c r="CA69" i="28"/>
  <c r="CA64" i="28"/>
  <c r="CB105" i="28"/>
  <c r="CA71" i="28"/>
  <c r="CB73" i="28"/>
  <c r="CB135" i="28"/>
  <c r="CB85" i="28"/>
  <c r="CB86" i="28"/>
  <c r="CB117" i="28"/>
  <c r="CA102" i="28"/>
  <c r="CB139" i="28"/>
  <c r="CA74" i="28"/>
  <c r="CA114" i="28"/>
  <c r="CA112" i="28"/>
  <c r="CA66" i="28"/>
  <c r="CA111" i="28"/>
  <c r="CA121" i="28"/>
  <c r="CA61" i="28"/>
  <c r="CA63" i="28"/>
  <c r="CB119" i="28"/>
  <c r="CB103" i="28"/>
  <c r="CA134" i="28"/>
  <c r="E209" i="26"/>
  <c r="E209" i="39"/>
  <c r="D34" i="22" l="1"/>
  <c r="I32" i="28"/>
  <c r="M23" i="22" s="1"/>
  <c r="L10" i="22" s="1"/>
  <c r="I31" i="28"/>
  <c r="M22" i="22" s="1"/>
  <c r="L9" i="22" s="1"/>
  <c r="M30" i="22"/>
  <c r="L8" i="22"/>
  <c r="AF225" i="26" l="1" a="1"/>
  <c r="AF225" i="26" s="1"/>
  <c r="AG231" i="26" a="1"/>
  <c r="AG231" i="26" s="1"/>
  <c r="AJ232" i="26" a="1"/>
  <c r="AJ232" i="26" s="1"/>
  <c r="AH237" i="26" a="1"/>
  <c r="AH237" i="26" s="1"/>
  <c r="AF242" i="26" a="1"/>
  <c r="AF242" i="26" s="1"/>
  <c r="AI243" i="26" a="1"/>
  <c r="AI243" i="26" s="1"/>
  <c r="AF245" i="26" a="1"/>
  <c r="AF245" i="26" s="1"/>
  <c r="AI246" i="26" a="1"/>
  <c r="AI246" i="26" s="1"/>
  <c r="AG251" i="26" a="1"/>
  <c r="AG251" i="26" s="1"/>
  <c r="AH254" i="26" a="1"/>
  <c r="AH254" i="26" s="1"/>
  <c r="AG225" i="26" a="1"/>
  <c r="AG225" i="26" s="1"/>
  <c r="AJ226" i="26" a="1"/>
  <c r="AJ226" i="26" s="1"/>
  <c r="AG228" i="26" a="1"/>
  <c r="AG228" i="26" s="1"/>
  <c r="AJ229" i="26" a="1"/>
  <c r="AJ229" i="26" s="1"/>
  <c r="AH234" i="26" a="1"/>
  <c r="AH234" i="26" s="1"/>
  <c r="AF239" i="26" a="1"/>
  <c r="AF239" i="26" s="1"/>
  <c r="AI240" i="26" a="1"/>
  <c r="AI240" i="26" s="1"/>
  <c r="AG248" i="26" a="1"/>
  <c r="AG248" i="26" s="1"/>
  <c r="AJ249" i="26" a="1"/>
  <c r="AJ249" i="26" s="1"/>
  <c r="AH251" i="26" a="1"/>
  <c r="AH251" i="26" s="1"/>
  <c r="AF256" i="26" a="1"/>
  <c r="AF256" i="26" s="1"/>
  <c r="AI257" i="26" a="1"/>
  <c r="AI257" i="26" s="1"/>
  <c r="AH231" i="26" a="1"/>
  <c r="AH231" i="26" s="1"/>
  <c r="AF236" i="26" a="1"/>
  <c r="AF236" i="26" s="1"/>
  <c r="AG245" i="26" a="1"/>
  <c r="AG245" i="26" s="1"/>
  <c r="AI254" i="26" a="1"/>
  <c r="AI254" i="26" s="1"/>
  <c r="AH228" i="26" a="1"/>
  <c r="AH228" i="26" s="1"/>
  <c r="AG239" i="26" a="1"/>
  <c r="AG239" i="26" s="1"/>
  <c r="AG256" i="26" a="1"/>
  <c r="AG256" i="26" s="1"/>
  <c r="AI231" i="26" a="1"/>
  <c r="AI231" i="26" s="1"/>
  <c r="AJ237" i="26" a="1"/>
  <c r="AJ237" i="26" s="1"/>
  <c r="AG253" i="26" a="1"/>
  <c r="AG253" i="26" s="1"/>
  <c r="AF226" i="26" a="1"/>
  <c r="AF226" i="26" s="1"/>
  <c r="AI227" i="26" a="1"/>
  <c r="AI227" i="26" s="1"/>
  <c r="AF229" i="26" a="1"/>
  <c r="AF229" i="26" s="1"/>
  <c r="AI230" i="26" a="1"/>
  <c r="AI230" i="26" s="1"/>
  <c r="AG235" i="26" a="1"/>
  <c r="AG235" i="26" s="1"/>
  <c r="AH238" i="26" a="1"/>
  <c r="AH238" i="26" s="1"/>
  <c r="AF243" i="26" a="1"/>
  <c r="AF243" i="26" s="1"/>
  <c r="AF246" i="26" a="1"/>
  <c r="AF246" i="26" s="1"/>
  <c r="AI247" i="26" a="1"/>
  <c r="AI247" i="26" s="1"/>
  <c r="AG252" i="26" a="1"/>
  <c r="AG252" i="26" s="1"/>
  <c r="AJ253" i="26" a="1"/>
  <c r="AJ253" i="26" s="1"/>
  <c r="AF234" i="26" a="1"/>
  <c r="AF234" i="26" s="1"/>
  <c r="AG240" i="26" a="1"/>
  <c r="AG240" i="26" s="1"/>
  <c r="AH249" i="26" a="1"/>
  <c r="AH249" i="26" s="1"/>
  <c r="AG257" i="26" a="1"/>
  <c r="AG257" i="26" s="1"/>
  <c r="AH226" i="26" a="1"/>
  <c r="AH226" i="26" s="1"/>
  <c r="AF231" i="26" a="1"/>
  <c r="AF231" i="26" s="1"/>
  <c r="AJ238" i="26" a="1"/>
  <c r="AJ238" i="26" s="1"/>
  <c r="AF251" i="26" a="1"/>
  <c r="AF251" i="26" s="1"/>
  <c r="AJ255" i="26" a="1"/>
  <c r="AJ255" i="26" s="1"/>
  <c r="AI226" i="26" a="1"/>
  <c r="AI226" i="26" s="1"/>
  <c r="AF228" i="26" a="1"/>
  <c r="AF228" i="26" s="1"/>
  <c r="AJ235" i="26" a="1"/>
  <c r="AJ235" i="26" s="1"/>
  <c r="AI249" i="26" a="1"/>
  <c r="AI249" i="26" s="1"/>
  <c r="AG242" i="26" a="1"/>
  <c r="AG242" i="26" s="1"/>
  <c r="AH248" i="26" a="1"/>
  <c r="AH248" i="26" s="1"/>
  <c r="AH225" i="26" a="1"/>
  <c r="AH225" i="26" s="1"/>
  <c r="AF233" i="26" a="1"/>
  <c r="AF233" i="26" s="1"/>
  <c r="AJ240" i="26" a="1"/>
  <c r="AJ240" i="26" s="1"/>
  <c r="AJ257" i="26" a="1"/>
  <c r="AJ257" i="26" s="1"/>
  <c r="AH245" i="26" a="1"/>
  <c r="AH245" i="26" s="1"/>
  <c r="AJ254" i="26" a="1"/>
  <c r="AJ254" i="26" s="1"/>
  <c r="AI224" i="26" a="1"/>
  <c r="AI224" i="26" s="1"/>
  <c r="AG232" i="26" a="1"/>
  <c r="AG232" i="26" s="1"/>
  <c r="AJ233" i="26" a="1"/>
  <c r="AJ233" i="26" s="1"/>
  <c r="AH235" i="26" a="1"/>
  <c r="AH235" i="26" s="1"/>
  <c r="AF240" i="26" a="1"/>
  <c r="AF240" i="26" s="1"/>
  <c r="AI241" i="26" a="1"/>
  <c r="AI241" i="26" s="1"/>
  <c r="AI244" i="26" a="1"/>
  <c r="AI244" i="26" s="1"/>
  <c r="AG249" i="26" a="1"/>
  <c r="AG249" i="26" s="1"/>
  <c r="AJ250" i="26" a="1"/>
  <c r="AJ250" i="26" s="1"/>
  <c r="AH255" i="26" a="1"/>
  <c r="AH255" i="26" s="1"/>
  <c r="AJ224" i="26" a="1"/>
  <c r="AJ224" i="26" s="1"/>
  <c r="AI235" i="26" a="1"/>
  <c r="AI235" i="26" s="1"/>
  <c r="AJ244" i="26" a="1"/>
  <c r="AJ244" i="26" s="1"/>
  <c r="AI255" i="26" a="1"/>
  <c r="AI255" i="26" s="1"/>
  <c r="AH229" i="26" a="1"/>
  <c r="AH229" i="26" s="1"/>
  <c r="AG237" i="26" a="1"/>
  <c r="AG237" i="26" s="1"/>
  <c r="AH243" i="26" a="1"/>
  <c r="AH243" i="26" s="1"/>
  <c r="AI252" i="26" a="1"/>
  <c r="AI252" i="26" s="1"/>
  <c r="AG234" i="26" a="1"/>
  <c r="AG234" i="26" s="1"/>
  <c r="AF248" i="26" a="1"/>
  <c r="AF248" i="26" s="1"/>
  <c r="AH257" i="26" a="1"/>
  <c r="AH257" i="26" s="1"/>
  <c r="AJ243" i="26" a="1"/>
  <c r="AJ243" i="26" s="1"/>
  <c r="AF253" i="26" a="1"/>
  <c r="AF253" i="26" s="1"/>
  <c r="AI234" i="26" a="1"/>
  <c r="AI234" i="26" s="1"/>
  <c r="AI251" i="26" a="1"/>
  <c r="AI251" i="26" s="1"/>
  <c r="AF227" i="26" a="1"/>
  <c r="AF227" i="26" s="1"/>
  <c r="AG236" i="26" a="1"/>
  <c r="AG236" i="26" s="1"/>
  <c r="AF247" i="26" a="1"/>
  <c r="AF247" i="26" s="1"/>
  <c r="AG226" i="26" a="1"/>
  <c r="AG226" i="26" s="1"/>
  <c r="AJ227" i="26" a="1"/>
  <c r="AJ227" i="26" s="1"/>
  <c r="AG229" i="26" a="1"/>
  <c r="AG229" i="26" s="1"/>
  <c r="AJ230" i="26" a="1"/>
  <c r="AJ230" i="26" s="1"/>
  <c r="AH232" i="26" a="1"/>
  <c r="AH232" i="26" s="1"/>
  <c r="AF237" i="26" a="1"/>
  <c r="AF237" i="26" s="1"/>
  <c r="AI238" i="26" a="1"/>
  <c r="AI238" i="26" s="1"/>
  <c r="AG243" i="26" a="1"/>
  <c r="AG243" i="26" s="1"/>
  <c r="AG246" i="26" a="1"/>
  <c r="AG246" i="26" s="1"/>
  <c r="AJ247" i="26" a="1"/>
  <c r="AJ247" i="26" s="1"/>
  <c r="AH252" i="26" a="1"/>
  <c r="AH252" i="26" s="1"/>
  <c r="AF257" i="26" a="1"/>
  <c r="AF257" i="26" s="1"/>
  <c r="AJ241" i="26" a="1"/>
  <c r="AJ241" i="26" s="1"/>
  <c r="AF254" i="26" a="1"/>
  <c r="AF254" i="26" s="1"/>
  <c r="AI232" i="26" a="1"/>
  <c r="AI232" i="26" s="1"/>
  <c r="AH246" i="26" a="1"/>
  <c r="AH246" i="26" s="1"/>
  <c r="AG254" i="26" a="1"/>
  <c r="AG254" i="26" s="1"/>
  <c r="AI229" i="26" a="1"/>
  <c r="AI229" i="26" s="1"/>
  <c r="AH240" i="26" a="1"/>
  <c r="AH240" i="26" s="1"/>
  <c r="AJ252" i="26" a="1"/>
  <c r="AJ252" i="26" s="1"/>
  <c r="AI237" i="26" a="1"/>
  <c r="AI237" i="26" s="1"/>
  <c r="AJ246" i="26" a="1"/>
  <c r="AJ246" i="26" s="1"/>
  <c r="AF250" i="26" a="1"/>
  <c r="AF250" i="26" s="1"/>
  <c r="AF230" i="26" a="1"/>
  <c r="AF230" i="26" s="1"/>
  <c r="AH242" i="26" a="1"/>
  <c r="AH242" i="26" s="1"/>
  <c r="AI248" i="26" a="1"/>
  <c r="AI248" i="26" s="1"/>
  <c r="AJ225" i="26" a="1"/>
  <c r="AJ225" i="26" s="1"/>
  <c r="AI233" i="26" a="1"/>
  <c r="AI233" i="26" s="1"/>
  <c r="AF238" i="26" a="1"/>
  <c r="AF238" i="26" s="1"/>
  <c r="AI242" i="26" a="1"/>
  <c r="AI242" i="26" s="1"/>
  <c r="AH250" i="26" a="1"/>
  <c r="AH250" i="26" s="1"/>
  <c r="AH239" i="26" a="1"/>
  <c r="AH239" i="26" s="1"/>
  <c r="AG227" i="26" a="1"/>
  <c r="AG227" i="26" s="1"/>
  <c r="AI239" i="26" a="1"/>
  <c r="AI239" i="26" s="1"/>
  <c r="AJ231" i="26" a="1"/>
  <c r="AJ231" i="26" s="1"/>
  <c r="AF252" i="26" a="1"/>
  <c r="AF252" i="26" s="1"/>
  <c r="AF224" i="26" a="1"/>
  <c r="AF224" i="26" s="1"/>
  <c r="AI256" i="26" a="1"/>
  <c r="AI256" i="26" s="1"/>
  <c r="AF232" i="26" a="1"/>
  <c r="AF232" i="26" s="1"/>
  <c r="AF241" i="26" a="1"/>
  <c r="AF241" i="26" s="1"/>
  <c r="AG233" i="26" a="1"/>
  <c r="AG233" i="26" s="1"/>
  <c r="AI245" i="26" a="1"/>
  <c r="AI245" i="26" s="1"/>
  <c r="AI225" i="26" a="1"/>
  <c r="AI225" i="26" s="1"/>
  <c r="AH233" i="26" a="1"/>
  <c r="AH233" i="26" s="1"/>
  <c r="AG250" i="26" a="1"/>
  <c r="AG250" i="26" s="1"/>
  <c r="AG230" i="26" a="1"/>
  <c r="AG230" i="26" s="1"/>
  <c r="AG238" i="26" a="1"/>
  <c r="AG238" i="26" s="1"/>
  <c r="AH230" i="26" a="1"/>
  <c r="AH230" i="26" s="1"/>
  <c r="AJ251" i="26" a="1"/>
  <c r="AJ251" i="26" s="1"/>
  <c r="AF235" i="26" a="1"/>
  <c r="AF235" i="26" s="1"/>
  <c r="AH256" i="26" a="1"/>
  <c r="AH256" i="26" s="1"/>
  <c r="AJ248" i="26" a="1"/>
  <c r="AJ248" i="26" s="1"/>
  <c r="AI228" i="26" a="1"/>
  <c r="AI228" i="26" s="1"/>
  <c r="AJ256" i="26" a="1"/>
  <c r="AJ256" i="26" s="1"/>
  <c r="AH253" i="26" a="1"/>
  <c r="AH253" i="26" s="1"/>
  <c r="AH224" i="26" a="1"/>
  <c r="AH224" i="26" s="1"/>
  <c r="AG241" i="26" a="1"/>
  <c r="AG241" i="26" s="1"/>
  <c r="AF249" i="26" a="1"/>
  <c r="AF249" i="26" s="1"/>
  <c r="AJ245" i="26" a="1"/>
  <c r="AJ245" i="26" s="1"/>
  <c r="AJ234" i="26" a="1"/>
  <c r="AJ234" i="26" s="1"/>
  <c r="AJ242" i="26" a="1"/>
  <c r="AJ242" i="26" s="1"/>
  <c r="AI250" i="26" a="1"/>
  <c r="AI250" i="26" s="1"/>
  <c r="AF255" i="26" a="1"/>
  <c r="AF255" i="26" s="1"/>
  <c r="AG247" i="26" a="1"/>
  <c r="AG247" i="26" s="1"/>
  <c r="AG255" i="26" a="1"/>
  <c r="AG255" i="26" s="1"/>
  <c r="AH247" i="26" a="1"/>
  <c r="AH247" i="26" s="1"/>
  <c r="AF244" i="26" a="1"/>
  <c r="AF244" i="26" s="1"/>
  <c r="AH227" i="26" a="1"/>
  <c r="AH227" i="26" s="1"/>
  <c r="AJ239" i="26" a="1"/>
  <c r="AJ239" i="26" s="1"/>
  <c r="AG244" i="26" a="1"/>
  <c r="AG244" i="26" s="1"/>
  <c r="AH236" i="26" a="1"/>
  <c r="AH236" i="26" s="1"/>
  <c r="AG224" i="26" a="1"/>
  <c r="AG224" i="26" s="1"/>
  <c r="AH244" i="26" a="1"/>
  <c r="AH244" i="26" s="1"/>
  <c r="AI236" i="26" a="1"/>
  <c r="AI236" i="26" s="1"/>
  <c r="AJ228" i="26" a="1"/>
  <c r="AJ228" i="26" s="1"/>
  <c r="AJ236" i="26" a="1"/>
  <c r="AJ236" i="26" s="1"/>
  <c r="AI253" i="26" a="1"/>
  <c r="AI253" i="26" s="1"/>
  <c r="AH241" i="26" a="1"/>
  <c r="AH241" i="26" s="1"/>
  <c r="AH260" i="26" a="1"/>
  <c r="AH260" i="26" s="1"/>
  <c r="AJ263" i="26" a="1"/>
  <c r="AJ263" i="26" s="1"/>
  <c r="AH267" i="26" a="1"/>
  <c r="AH267" i="26" s="1"/>
  <c r="AG269" i="26" a="1"/>
  <c r="AG269" i="26" s="1"/>
  <c r="AF271" i="26" a="1"/>
  <c r="AF271" i="26" s="1"/>
  <c r="AF273" i="26" a="1"/>
  <c r="AF273" i="26" s="1"/>
  <c r="AJ274" i="26" a="1"/>
  <c r="AJ274" i="26" s="1"/>
  <c r="AI279" i="26" a="1"/>
  <c r="AI279" i="26" s="1"/>
  <c r="AG281" i="26" a="1"/>
  <c r="AG281" i="26" s="1"/>
  <c r="AF283" i="26" a="1"/>
  <c r="AF283" i="26" s="1"/>
  <c r="AF285" i="26" a="1"/>
  <c r="AF285" i="26" s="1"/>
  <c r="AJ286" i="26" a="1"/>
  <c r="AJ286" i="26" s="1"/>
  <c r="AI260" i="26" a="1"/>
  <c r="AI260" i="26" s="1"/>
  <c r="AG262" i="26" a="1"/>
  <c r="AG262" i="26" s="1"/>
  <c r="AI265" i="26" a="1"/>
  <c r="AI265" i="26" s="1"/>
  <c r="AH269" i="26" a="1"/>
  <c r="AH269" i="26" s="1"/>
  <c r="AG273" i="26" a="1"/>
  <c r="AG273" i="26" s="1"/>
  <c r="AH276" i="26" a="1"/>
  <c r="AH276" i="26" s="1"/>
  <c r="AF278" i="26" a="1"/>
  <c r="AF278" i="26" s="1"/>
  <c r="AG283" i="26" a="1"/>
  <c r="AG283" i="26" s="1"/>
  <c r="AF259" i="26" a="1"/>
  <c r="AF259" i="26" s="1"/>
  <c r="AI267" i="26" a="1"/>
  <c r="AI267" i="26" s="1"/>
  <c r="AG271" i="26" a="1"/>
  <c r="AG271" i="26" s="1"/>
  <c r="AJ279" i="26" a="1"/>
  <c r="AJ279" i="26" s="1"/>
  <c r="AH281" i="26" a="1"/>
  <c r="AH281" i="26" s="1"/>
  <c r="AH283" i="26" a="1"/>
  <c r="AH283" i="26" s="1"/>
  <c r="AG285" i="26" a="1"/>
  <c r="AG285" i="26" s="1"/>
  <c r="AJ260" i="26" a="1"/>
  <c r="AJ260" i="26" s="1"/>
  <c r="AH262" i="26" a="1"/>
  <c r="AH262" i="26" s="1"/>
  <c r="AF264" i="26" a="1"/>
  <c r="AF264" i="26" s="1"/>
  <c r="AJ265" i="26" a="1"/>
  <c r="AJ265" i="26" s="1"/>
  <c r="AJ267" i="26" a="1"/>
  <c r="AJ267" i="26" s="1"/>
  <c r="AI269" i="26" a="1"/>
  <c r="AI269" i="26" s="1"/>
  <c r="AH271" i="26" a="1"/>
  <c r="AH271" i="26" s="1"/>
  <c r="AH273" i="26" a="1"/>
  <c r="AH273" i="26" s="1"/>
  <c r="AF275" i="26" a="1"/>
  <c r="AF275" i="26" s="1"/>
  <c r="AI276" i="26" a="1"/>
  <c r="AI276" i="26" s="1"/>
  <c r="AG278" i="26" a="1"/>
  <c r="AG278" i="26" s="1"/>
  <c r="AI281" i="26" a="1"/>
  <c r="AI281" i="26" s="1"/>
  <c r="AG259" i="26" a="1"/>
  <c r="AG259" i="26" s="1"/>
  <c r="AJ281" i="26" a="1"/>
  <c r="AJ281" i="26" s="1"/>
  <c r="AI283" i="26" a="1"/>
  <c r="AI283" i="26" s="1"/>
  <c r="AH285" i="26" a="1"/>
  <c r="AH285" i="26" s="1"/>
  <c r="AH261" i="26" a="1"/>
  <c r="AH261" i="26" s="1"/>
  <c r="AH266" i="26" a="1"/>
  <c r="AH266" i="26" s="1"/>
  <c r="AI268" i="26" a="1"/>
  <c r="AI268" i="26" s="1"/>
  <c r="AI271" i="26" a="1"/>
  <c r="AI271" i="26" s="1"/>
  <c r="AJ280" i="26" a="1"/>
  <c r="AJ280" i="26" s="1"/>
  <c r="AJ283" i="26" a="1"/>
  <c r="AJ283" i="26" s="1"/>
  <c r="AF286" i="26" a="1"/>
  <c r="AF286" i="26" s="1"/>
  <c r="AH259" i="26" a="1"/>
  <c r="AH259" i="26" s="1"/>
  <c r="AI261" i="26" a="1"/>
  <c r="AI261" i="26" s="1"/>
  <c r="AJ268" i="26" a="1"/>
  <c r="AJ268" i="26" s="1"/>
  <c r="AJ271" i="26" a="1"/>
  <c r="AJ271" i="26" s="1"/>
  <c r="AG274" i="26" a="1"/>
  <c r="AG274" i="26" s="1"/>
  <c r="AG276" i="26" a="1"/>
  <c r="AG276" i="26" s="1"/>
  <c r="AJ278" i="26" a="1"/>
  <c r="AJ278" i="26" s="1"/>
  <c r="AG286" i="26" a="1"/>
  <c r="AG286" i="26" s="1"/>
  <c r="AJ261" i="26" a="1"/>
  <c r="AJ261" i="26" s="1"/>
  <c r="AG264" i="26" a="1"/>
  <c r="AG264" i="26" s="1"/>
  <c r="AI266" i="26" a="1"/>
  <c r="AI266" i="26" s="1"/>
  <c r="AJ276" i="26" a="1"/>
  <c r="AJ276" i="26" s="1"/>
  <c r="AH286" i="26" a="1"/>
  <c r="AH286" i="26" s="1"/>
  <c r="AI259" i="26" a="1"/>
  <c r="AI259" i="26" s="1"/>
  <c r="AH264" i="26" a="1"/>
  <c r="AH264" i="26" s="1"/>
  <c r="AJ266" i="26" a="1"/>
  <c r="AJ266" i="26" s="1"/>
  <c r="AF269" i="26" a="1"/>
  <c r="AF269" i="26" s="1"/>
  <c r="AH274" i="26" a="1"/>
  <c r="AH274" i="26" s="1"/>
  <c r="AF279" i="26" a="1"/>
  <c r="AF279" i="26" s="1"/>
  <c r="AF281" i="26" a="1"/>
  <c r="AF281" i="26" s="1"/>
  <c r="AF284" i="26" a="1"/>
  <c r="AF284" i="26" s="1"/>
  <c r="AF272" i="26" a="1"/>
  <c r="AF272" i="26" s="1"/>
  <c r="AI274" i="26" a="1"/>
  <c r="AI274" i="26" s="1"/>
  <c r="AF277" i="26" a="1"/>
  <c r="AF277" i="26" s="1"/>
  <c r="AG284" i="26" a="1"/>
  <c r="AG284" i="26" s="1"/>
  <c r="AI286" i="26" a="1"/>
  <c r="AI286" i="26" s="1"/>
  <c r="AJ259" i="26" a="1"/>
  <c r="AJ259" i="26" s="1"/>
  <c r="AF262" i="26" a="1"/>
  <c r="AF262" i="26" s="1"/>
  <c r="AI264" i="26" a="1"/>
  <c r="AI264" i="26" s="1"/>
  <c r="AJ269" i="26" a="1"/>
  <c r="AJ269" i="26" s="1"/>
  <c r="AG272" i="26" a="1"/>
  <c r="AG272" i="26" s="1"/>
  <c r="AG279" i="26" a="1"/>
  <c r="AG279" i="26" s="1"/>
  <c r="AI262" i="26" a="1"/>
  <c r="AI262" i="26" s="1"/>
  <c r="AJ264" i="26" a="1"/>
  <c r="AJ264" i="26" s="1"/>
  <c r="AF267" i="26" a="1"/>
  <c r="AF267" i="26" s="1"/>
  <c r="AH272" i="26" a="1"/>
  <c r="AH272" i="26" s="1"/>
  <c r="AG277" i="26" a="1"/>
  <c r="AG277" i="26" s="1"/>
  <c r="AF282" i="26" a="1"/>
  <c r="AF282" i="26" s="1"/>
  <c r="AH284" i="26" a="1"/>
  <c r="AH284" i="26" s="1"/>
  <c r="AI272" i="26" a="1"/>
  <c r="AI272" i="26" s="1"/>
  <c r="AG275" i="26" a="1"/>
  <c r="AG275" i="26" s="1"/>
  <c r="AH279" i="26" a="1"/>
  <c r="AH279" i="26" s="1"/>
  <c r="AG282" i="26" a="1"/>
  <c r="AG282" i="26" s="1"/>
  <c r="AF260" i="26" a="1"/>
  <c r="AF260" i="26" s="1"/>
  <c r="AJ262" i="26" a="1"/>
  <c r="AJ262" i="26" s="1"/>
  <c r="AG267" i="26" a="1"/>
  <c r="AG267" i="26" s="1"/>
  <c r="AF270" i="26" a="1"/>
  <c r="AF270" i="26" s="1"/>
  <c r="AH277" i="26" a="1"/>
  <c r="AH277" i="26" s="1"/>
  <c r="AI284" i="26" a="1"/>
  <c r="AI284" i="26" s="1"/>
  <c r="AF258" i="26" a="1"/>
  <c r="AF258" i="26" s="1"/>
  <c r="AG260" i="26" a="1"/>
  <c r="AG260" i="26" s="1"/>
  <c r="AF265" i="26" a="1"/>
  <c r="AF265" i="26" s="1"/>
  <c r="AG270" i="26" a="1"/>
  <c r="AG270" i="26" s="1"/>
  <c r="AJ272" i="26" a="1"/>
  <c r="AJ272" i="26" s="1"/>
  <c r="AH275" i="26" a="1"/>
  <c r="AH275" i="26" s="1"/>
  <c r="AI277" i="26" a="1"/>
  <c r="AI277" i="26" s="1"/>
  <c r="AH282" i="26" a="1"/>
  <c r="AH282" i="26" s="1"/>
  <c r="AJ284" i="26" a="1"/>
  <c r="AJ284" i="26" s="1"/>
  <c r="AF263" i="26" a="1"/>
  <c r="AF263" i="26" s="1"/>
  <c r="AF268" i="26" a="1"/>
  <c r="AF268" i="26" s="1"/>
  <c r="AF280" i="26" a="1"/>
  <c r="AF280" i="26" s="1"/>
  <c r="AG258" i="26" a="1"/>
  <c r="AG258" i="26" s="1"/>
  <c r="AG263" i="26" a="1"/>
  <c r="AG263" i="26" s="1"/>
  <c r="AI273" i="26" a="1"/>
  <c r="AI273" i="26" s="1"/>
  <c r="AG280" i="26" a="1"/>
  <c r="AG280" i="26" s="1"/>
  <c r="AH265" i="26" a="1"/>
  <c r="AH265" i="26" s="1"/>
  <c r="AI270" i="26" a="1"/>
  <c r="AI270" i="26" s="1"/>
  <c r="AH280" i="26" a="1"/>
  <c r="AH280" i="26" s="1"/>
  <c r="AI258" i="26" a="1"/>
  <c r="AI258" i="26" s="1"/>
  <c r="AJ273" i="26" a="1"/>
  <c r="AJ273" i="26" s="1"/>
  <c r="AJ258" i="26" a="1"/>
  <c r="AJ258" i="26" s="1"/>
  <c r="AG261" i="26" a="1"/>
  <c r="AG261" i="26" s="1"/>
  <c r="AH268" i="26" a="1"/>
  <c r="AH268" i="26" s="1"/>
  <c r="AH278" i="26" a="1"/>
  <c r="AH278" i="26" s="1"/>
  <c r="AJ285" i="26" a="1"/>
  <c r="AJ285" i="26" s="1"/>
  <c r="AI263" i="26" a="1"/>
  <c r="AI263" i="26" s="1"/>
  <c r="AG266" i="26" a="1"/>
  <c r="AG266" i="26" s="1"/>
  <c r="AF274" i="26" a="1"/>
  <c r="AF274" i="26" s="1"/>
  <c r="AF276" i="26" a="1"/>
  <c r="AF276" i="26" s="1"/>
  <c r="AI278" i="26" a="1"/>
  <c r="AI278" i="26" s="1"/>
  <c r="AG265" i="26" a="1"/>
  <c r="AG265" i="26" s="1"/>
  <c r="AI275" i="26" a="1"/>
  <c r="AI275" i="26" s="1"/>
  <c r="AH270" i="26" a="1"/>
  <c r="AH270" i="26" s="1"/>
  <c r="AJ277" i="26" a="1"/>
  <c r="AJ277" i="26" s="1"/>
  <c r="AI282" i="26" a="1"/>
  <c r="AI282" i="26" s="1"/>
  <c r="AH258" i="26" a="1"/>
  <c r="AH258" i="26"/>
  <c r="AF261" i="26" a="1"/>
  <c r="AF261" i="26" s="1"/>
  <c r="AG268" i="26" a="1"/>
  <c r="AG268" i="26" s="1"/>
  <c r="AJ275" i="26" a="1"/>
  <c r="AJ275" i="26" s="1"/>
  <c r="AI285" i="26" a="1"/>
  <c r="AI285" i="26" s="1"/>
  <c r="AH263" i="26" a="1"/>
  <c r="AH263" i="26" s="1"/>
  <c r="AJ282" i="26" a="1"/>
  <c r="AJ282" i="26" s="1"/>
  <c r="AF266" i="26" a="1"/>
  <c r="AF266" i="26" s="1"/>
  <c r="AJ270" i="26" a="1"/>
  <c r="AJ270" i="26" s="1"/>
  <c r="AI280" i="26" a="1"/>
  <c r="AI280" i="26" s="1"/>
  <c r="AG290" i="26" a="1"/>
  <c r="AG290" i="26" s="1"/>
  <c r="AF288" i="26" a="1"/>
  <c r="AF288" i="26" s="1"/>
  <c r="AH290" i="26" a="1"/>
  <c r="AH290" i="26" s="1"/>
  <c r="AG292" i="26" a="1"/>
  <c r="AG292" i="26" s="1"/>
  <c r="AG288" i="26" a="1"/>
  <c r="AG288" i="26" s="1"/>
  <c r="AH292" i="26" a="1"/>
  <c r="AH292" i="26" s="1"/>
  <c r="AH288" i="26" a="1"/>
  <c r="AH288" i="26" s="1"/>
  <c r="AI292" i="26" a="1"/>
  <c r="AI292" i="26" s="1"/>
  <c r="AI288" i="26" a="1"/>
  <c r="AI288" i="26" s="1"/>
  <c r="AF291" i="26" a="1"/>
  <c r="AF291" i="26" s="1"/>
  <c r="AF289" i="26" a="1"/>
  <c r="AF289" i="26" s="1"/>
  <c r="AH289" i="26" a="1"/>
  <c r="AH289" i="26" s="1"/>
  <c r="AH291" i="26" a="1"/>
  <c r="AH291" i="26" s="1"/>
  <c r="AI289" i="26" a="1"/>
  <c r="AI289" i="26" s="1"/>
  <c r="AJ291" i="26" a="1"/>
  <c r="AJ291" i="26" s="1"/>
  <c r="AI290" i="26" a="1"/>
  <c r="AI290" i="26" s="1"/>
  <c r="AJ290" i="26" a="1"/>
  <c r="AJ290" i="26" s="1"/>
  <c r="AJ288" i="26" a="1"/>
  <c r="AJ288" i="26" s="1"/>
  <c r="AJ292" i="26" a="1"/>
  <c r="AJ292" i="26" s="1"/>
  <c r="AG291" i="26" a="1"/>
  <c r="AG291" i="26" s="1"/>
  <c r="AG289" i="26" a="1"/>
  <c r="AG289" i="26" s="1"/>
  <c r="AI291" i="26" a="1"/>
  <c r="AI291" i="26" s="1"/>
  <c r="AJ289" i="26" a="1"/>
  <c r="AJ289" i="26" s="1"/>
  <c r="AF290" i="26" a="1"/>
  <c r="AF290" i="26" s="1"/>
  <c r="AF292" i="26" a="1"/>
  <c r="AF292" i="26" s="1"/>
  <c r="AJ287" i="26" a="1"/>
  <c r="AJ287" i="26" s="1"/>
  <c r="AF287" i="26" a="1"/>
  <c r="AF287" i="26" s="1"/>
  <c r="AH287" i="26" a="1"/>
  <c r="AH287" i="26" s="1"/>
  <c r="AG287" i="26" a="1"/>
  <c r="AG287" i="26" s="1"/>
  <c r="AI287" i="26" a="1"/>
  <c r="AI287" i="26" s="1"/>
  <c r="AH293" i="26" a="1"/>
  <c r="AH293" i="26" s="1"/>
  <c r="AH295" i="26" a="1"/>
  <c r="AH295" i="26" s="1"/>
  <c r="AJ293" i="26" a="1"/>
  <c r="AJ293" i="26" s="1"/>
  <c r="AF294" i="26" a="1"/>
  <c r="AF294" i="26" s="1"/>
  <c r="AG294" i="26" a="1"/>
  <c r="AG294" i="26" s="1"/>
  <c r="AI294" i="26" a="1"/>
  <c r="AI294" i="26" s="1"/>
  <c r="AG295" i="26" a="1"/>
  <c r="AG295" i="26" s="1"/>
  <c r="AG293" i="26" a="1"/>
  <c r="AG293" i="26" s="1"/>
  <c r="AI293" i="26" a="1"/>
  <c r="AI293" i="26" s="1"/>
  <c r="AI295" i="26" a="1"/>
  <c r="AI295" i="26" s="1"/>
  <c r="AF293" i="26" a="1"/>
  <c r="AF293" i="26" s="1"/>
  <c r="AJ295" i="26" a="1"/>
  <c r="AJ295" i="26" s="1"/>
  <c r="AH294" i="26" a="1"/>
  <c r="AH294" i="26" s="1"/>
  <c r="AJ294" i="26" a="1"/>
  <c r="AJ294" i="26" s="1"/>
  <c r="AF295" i="26" a="1"/>
  <c r="AF295"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tc={73C02AE0-FE45-4CD7-A58F-2F0FF58E9A69}</author>
    <author>tc={B0BDCE7B-6911-45F8-85C5-BAE2ADF66E31}</author>
  </authors>
  <commentList>
    <comment ref="AK11" authorId="0" shapeId="0" xr:uid="{73C02AE0-FE45-4CD7-A58F-2F0FF58E9A6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基準リブ使わないなら関係ないよ
返信:
24では使っていたもの</t>
      </text>
    </comment>
    <comment ref="G12" authorId="1" shapeId="0" xr:uid="{B0BDCE7B-6911-45F8-85C5-BAE2ADF66E3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ここまで入れればいい。ウィングレットは独自で出す。</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tc={80656F77-A54B-4228-9389-5CE01CE4AECA}</author>
    <author>tc={42CD9957-B021-477B-945E-69294813D850}</author>
    <author>tc={DBA2E715-C6DE-4B6A-9344-8B4EDBB562A0}</author>
    <author>tc={32F0C305-CEEE-4029-802D-C765A444C3FE}</author>
    <author>tc={BF69C2CE-2003-4C1D-BE27-CCD1890BAB24}</author>
    <author>tc={695B7047-025F-4219-939C-6F00CF763CE4}</author>
    <author>tc={C544BE56-5035-4D43-9B48-21C302A6AB9E}</author>
    <author>tc={FE37AAB1-6935-4A25-B339-BC0331FFE78A}</author>
    <author>tc={130B7127-9D16-4825-833A-C503E4BE0ED0}</author>
    <author>髙橋蓮弥</author>
    <author>tc={1232F616-2051-48A0-B249-5AD99325C25B}</author>
    <author>tc={CB43CD89-3E9B-4887-9D3D-9338FB1CE569}</author>
    <author>tc={3B9C6CED-9D7A-4DD6-ADE5-C009E37E5FFB}</author>
    <author>tc={462F56F3-859D-4F77-A35A-18BCAD2F353C}</author>
    <author>tc={6BD8CE23-8DFC-45C7-828F-CB8043A78C24}</author>
    <author>tc={20E380B2-F64E-4B79-A857-9871076E614E}</author>
    <author>tc={4EA17104-0861-4D27-82C5-9C9D50B04C45}</author>
    <author>tc={C7B889CB-71DD-4938-9843-B2696D5A3EAF}</author>
    <author>tc={363B51CD-16B4-4A6F-9788-A2A33B080CB0}</author>
    <author>tc={19984A32-D153-4D6F-8E29-4399DF73E761}</author>
    <author>tc={303A530A-6DCD-49AE-8400-AF8826CE32A7}</author>
    <author>tc={4284116D-99D4-45DC-8293-C2B62385400C}</author>
    <author>tc={3CFE4C2F-BBCB-4A8E-97E4-A6A48F333DFC}</author>
    <author>tc={C53AA23B-AEE2-4708-B529-5A0438F6B6A0}</author>
    <author>tc={4A09C0C3-70A8-4441-B994-7CA627D182E0}</author>
    <author>tc={11EFF960-258C-40A9-936E-0BFD3F9618DF}</author>
    <author>tc={793555F7-F234-4C43-9BD0-1AAA01F8F915}</author>
    <author>tc={925D63E7-ACA7-46CB-8217-814CD6AA70DC}</author>
  </authors>
  <commentList>
    <comment ref="G1" authorId="0" shapeId="0" xr:uid="{80656F77-A54B-4228-9389-5CE01CE4AEC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↓多少時間がかかる。
返信:
ひとつずつだとはやい</t>
      </text>
    </comment>
    <comment ref="Y1" authorId="1" shapeId="0" xr:uid="{42CD9957-B021-477B-945E-69294813D85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いい感じに重みづけしたのをいい感じにしたもの</t>
      </text>
    </comment>
    <comment ref="Q3" authorId="2" shapeId="0" xr:uid="{DBA2E715-C6DE-4B6A-9344-8B4EDBB562A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対角化用
返信:
必ずリブ位置に置かなければならない。
ウイングレット部は関係なし。
返信:
端リブの横でテーパー変わるとかやるとそこだけ別につけなきゃいけないとかなってだるいからやらない。</t>
      </text>
    </comment>
    <comment ref="G4" authorId="3" shapeId="0" xr:uid="{32F0C305-CEEE-4029-802D-C765A444C3F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曲げモーメントの制約
１なら楕円分布</t>
      </text>
    </comment>
    <comment ref="H4" authorId="4" shapeId="0" xr:uid="{BF69C2CE-2003-4C1D-BE27-CCD1890BAB2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TR797から求める。</t>
      </text>
    </comment>
    <comment ref="I4" authorId="5" shapeId="0" xr:uid="{695B7047-025F-4219-939C-6F00CF763CE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適当でもいい。ロガーから考えるのがベスト。</t>
      </text>
    </comment>
    <comment ref="N4" authorId="6" shapeId="0" xr:uid="{C544BE56-5035-4D43-9B48-21C302A6AB9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勝手にやってくれる。コードが</t>
      </text>
    </comment>
    <comment ref="S4" authorId="7" shapeId="0" xr:uid="{FE37AAB1-6935-4A25-B339-BC0331FFE78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桁につける上反はテーパー点を選んでね。ウィングレットはどこでもよい。</t>
      </text>
    </comment>
    <comment ref="B6" authorId="8" shapeId="0" xr:uid="{130B7127-9D16-4825-833A-C503E4BE0ED0}">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ここでは加速はおわっているものとしている。TR797で必要揚力を変えるのがめんどくさかったため。
不満なら改造してください。
</t>
      </text>
    </comment>
    <comment ref="G6" authorId="9" shapeId="0" xr:uid="{4699E18D-E53F-43E6-BD4A-A5D87E3990D7}">
      <text>
        <r>
          <rPr>
            <b/>
            <sz val="9"/>
            <color indexed="81"/>
            <rFont val="MS P ゴシック"/>
            <family val="3"/>
            <charset val="128"/>
          </rPr>
          <t>髙橋蓮弥:</t>
        </r>
        <r>
          <rPr>
            <sz val="9"/>
            <color indexed="81"/>
            <rFont val="MS P ゴシック"/>
            <family val="3"/>
            <charset val="128"/>
          </rPr>
          <t xml:space="preserve">何も書かれてなければβの制約がない状態で地面効果と揚力の制約を考えたときのみの状態で実行される。
</t>
        </r>
      </text>
    </comment>
    <comment ref="B7" authorId="9" shapeId="0" xr:uid="{A2489F2A-1AD4-4629-BE5E-9142EB3F3858}">
      <text>
        <r>
          <rPr>
            <b/>
            <sz val="9"/>
            <color indexed="81"/>
            <rFont val="MS P ゴシック"/>
            <family val="3"/>
            <charset val="128"/>
          </rPr>
          <t>髙橋蓮弥:</t>
        </r>
        <r>
          <rPr>
            <sz val="9"/>
            <color indexed="81"/>
            <rFont val="MS P ゴシック"/>
            <family val="3"/>
            <charset val="128"/>
          </rPr>
          <t xml:space="preserve">
巡航１と２でよくないか？と思う。
ので結局そこしか実装しないことにする。</t>
        </r>
      </text>
    </comment>
    <comment ref="P10" authorId="10" shapeId="0" xr:uid="{1232F616-2051-48A0-B249-5AD99325C25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ここまで桁につける。</t>
      </text>
    </comment>
    <comment ref="Y10" authorId="11" shapeId="0" xr:uid="{CB43CD89-3E9B-4887-9D3D-9338FB1CE56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ここまで主翼
返信:
テーパー増やすと主翼の制作がだるくなる。やめとくのがよい。</t>
      </text>
    </comment>
    <comment ref="B18" authorId="12" shapeId="0" xr:uid="{3B9C6CED-9D7A-4DD6-ADE5-C009E37E5FF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ここは一つずつ実行</t>
      </text>
    </comment>
    <comment ref="E20" authorId="13" shapeId="0" xr:uid="{462F56F3-859D-4F77-A35A-18BCAD2F353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高速機作ろうとするとコード長減らしたくなるけど、それはできない。なぜなら桁おおきいから。絶対に桁径を小さくするべき。</t>
      </text>
    </comment>
    <comment ref="G20" authorId="9" shapeId="0" xr:uid="{67CF9F7A-C421-4528-99E4-1272E6DE7330}">
      <text>
        <r>
          <rPr>
            <b/>
            <sz val="9"/>
            <color indexed="81"/>
            <rFont val="MS P ゴシック"/>
            <family val="3"/>
            <charset val="128"/>
          </rPr>
          <t>髙橋蓮弥:</t>
        </r>
        <r>
          <rPr>
            <sz val="9"/>
            <color indexed="81"/>
            <rFont val="MS P ゴシック"/>
            <family val="3"/>
            <charset val="128"/>
          </rPr>
          <t xml:space="preserve">
翼型は右上のところでいじってね。</t>
        </r>
      </text>
    </comment>
    <comment ref="L27" authorId="14" shapeId="0" xr:uid="{6BD8CE23-8DFC-45C7-828F-CB8043A78C2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LLTの687行目周辺を変えると出力を変えられる</t>
      </text>
    </comment>
    <comment ref="B28" authorId="15" shapeId="0" xr:uid="{20E380B2-F64E-4B79-A857-9871076E614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ここまで主翼</t>
      </text>
    </comment>
    <comment ref="B37" authorId="16" shapeId="0" xr:uid="{4EA17104-0861-4D27-82C5-9C9D50B04C4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ここは一つずつ実行</t>
      </text>
    </comment>
    <comment ref="L46" authorId="17" shapeId="0" xr:uid="{C7B889CB-71DD-4938-9843-B2696D5A3EA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LLTの687行目周辺を変えると出力を変えられる</t>
      </text>
    </comment>
    <comment ref="B47" authorId="18" shapeId="0" xr:uid="{363B51CD-16B4-4A6F-9788-A2A33B080CB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ここまで主翼</t>
      </text>
    </comment>
    <comment ref="B57" authorId="19" shapeId="0" xr:uid="{19984A32-D153-4D6F-8E29-4399DF73E76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ここは一つずつ実行</t>
      </text>
    </comment>
    <comment ref="L66" authorId="20" shapeId="0" xr:uid="{303A530A-6DCD-49AE-8400-AF8826CE32A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LLTの687行目周辺を変えると出力を変えられる</t>
      </text>
    </comment>
    <comment ref="B67" authorId="21" shapeId="0" xr:uid="{4284116D-99D4-45DC-8293-C2B62385400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ここまで主翼</t>
      </text>
    </comment>
    <comment ref="M206" authorId="22" shapeId="0" xr:uid="{3CFE4C2F-BBCB-4A8E-97E4-A6A48F333DF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たわみなし</t>
      </text>
    </comment>
    <comment ref="O206" authorId="23" shapeId="0" xr:uid="{C53AA23B-AEE2-4708-B529-5A0438F6B6A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単調でないのは、接合部の重さがあったり、翼素区間を一定で計算したいないからです。
返信:
多分。</t>
      </text>
    </comment>
    <comment ref="Y206" authorId="24" shapeId="0" xr:uid="{4A09C0C3-70A8-4441-B994-7CA627D182E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たわみなし</t>
      </text>
    </comment>
    <comment ref="AA206" authorId="25" shapeId="0" xr:uid="{11EFF960-258C-40A9-936E-0BFD3F9618D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単調でないのは、接合部の重さがあったり、翼素区間を一定で計算したいないからです。
返信:
多分。</t>
      </text>
    </comment>
    <comment ref="AK206" authorId="26" shapeId="0" xr:uid="{793555F7-F234-4C43-9BD0-1AAA01F8F91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たわみなし</t>
      </text>
    </comment>
    <comment ref="AM206" authorId="27" shapeId="0" xr:uid="{925D63E7-ACA7-46CB-8217-814CD6AA70D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単調でないのは、接合部の重さがあったり、翼素区間を一定で計算したいないからです。
返信:
多分。</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tc={96DBEE28-D6EC-4E1B-8D8A-DA8C69B3C19D}</author>
    <author>tc={99DCDD6B-928A-4D6B-9C22-0783B40187DF}</author>
    <author>tc={6E1BD0AD-D47D-43F1-85FE-9BD3055C0B71}</author>
    <author>tc={1D633356-79EB-4482-BF9C-ECA883D65B95}</author>
    <author>tc={CC46EB00-6FC0-4EE4-ADF9-1B4EB69CD0DA}</author>
    <author>tc={14D7CCFB-2799-4D24-8BA9-F947293203DF}</author>
    <author>沖本和貴</author>
    <author>tc={6F536D44-CBCB-488D-BA7E-F76FAE1AB0C5}</author>
    <author>tc={04FC8BD4-1034-41B9-87C4-18903E9EB8B5}</author>
    <author>tc={95DCAC82-DBBA-45BB-8B51-1669767E1FF1}</author>
    <author>tc={0770A0E7-71EE-413D-B00F-7DC7C1D66C53}</author>
  </authors>
  <commentList>
    <comment ref="W4" authorId="0" shapeId="0" xr:uid="{96DBEE28-D6EC-4E1B-8D8A-DA8C69B3C19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さすまた抜きで</t>
      </text>
    </comment>
    <comment ref="Y6" authorId="1" shapeId="0" xr:uid="{99DCDD6B-928A-4D6B-9C22-0783B40187D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ここに実測できてないときは昨年の誤差とか入れてるといい気がする。</t>
      </text>
    </comment>
    <comment ref="C8" authorId="2" shapeId="0" xr:uid="{6E1BD0AD-D47D-43F1-85FE-9BD3055C0B7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桁穴分抜いてにけど、まあがらすくろすとかということで。</t>
      </text>
    </comment>
    <comment ref="Y11" authorId="3" shapeId="0" xr:uid="{1D633356-79EB-4482-BF9C-ECA883D65B9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上反部の積層で重量が変わる。</t>
      </text>
    </comment>
    <comment ref="I19" authorId="4" shapeId="0" xr:uid="{CC46EB00-6FC0-4EE4-ADF9-1B4EB69CD0D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いい感じに,わりかし適当だから誰か変えてほしい。</t>
      </text>
    </comment>
    <comment ref="Y19" authorId="5" shapeId="0" xr:uid="{14D7CCFB-2799-4D24-8BA9-F947293203D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推定値っていうより例年これくらいだからこれくらいにしてほしいという要望。</t>
      </text>
    </comment>
    <comment ref="G28" authorId="6" shapeId="0" xr:uid="{ADB67422-CA7F-4207-B43D-2F62EEAF8DB7}">
      <text>
        <r>
          <rPr>
            <b/>
            <sz val="9"/>
            <color indexed="81"/>
            <rFont val="MS P ゴシック"/>
            <family val="3"/>
            <charset val="128"/>
          </rPr>
          <t>沖本和貴:</t>
        </r>
        <r>
          <rPr>
            <sz val="9"/>
            <color indexed="81"/>
            <rFont val="MS P ゴシック"/>
            <family val="3"/>
            <charset val="128"/>
          </rPr>
          <t xml:space="preserve">
0番桁中心からの距離</t>
        </r>
      </text>
    </comment>
    <comment ref="B37" authorId="7" shapeId="0" xr:uid="{6F536D44-CBCB-488D-BA7E-F76FAE1AB0C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面積どのくらい減るか
返信:
にくぬきで</t>
      </text>
    </comment>
    <comment ref="D37" authorId="8" shapeId="0" xr:uid="{04FC8BD4-1034-41B9-87C4-18903E9EB8B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前縁の方が重いだろうからちょっと足した。
コードにハーフリブ面積を計算するところをついかするといいかもしれない。</t>
      </text>
    </comment>
    <comment ref="AO46" authorId="9" shapeId="0" xr:uid="{95DCAC82-DBBA-45BB-8B51-1669767E1FF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いい感じに追加してください。</t>
      </text>
    </comment>
    <comment ref="D49" authorId="10" shapeId="0" xr:uid="{0770A0E7-71EE-413D-B00F-7DC7C1D66C5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この行にはリブ１とリブ２の間のおもさが入っている。</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tc={0231D4C7-BE7B-4C5E-A0E7-89DB07B1C3FD}</author>
    <author>tc={DC478031-70E2-4075-B948-6A7117663BA3}</author>
    <author>tc={29F7746C-97DD-48D4-86B7-31EFAE9A6D0A}</author>
    <author>tc={9AFC1A1F-52E9-40DD-B01E-BFECC9A43E59}</author>
    <author>tc={E2A8D54B-FBA7-4305-BAB2-E90F188CCFA5}</author>
  </authors>
  <commentList>
    <comment ref="T2" authorId="0" shapeId="0" xr:uid="{0231D4C7-BE7B-4C5E-A0E7-89DB07B1C3F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いったん保存したいときとかにお勧め
返信:
値だけ張り付けて</t>
      </text>
    </comment>
    <comment ref="J10" authorId="1" shapeId="0" xr:uid="{DC478031-70E2-4075-B948-6A7117663BA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定常状態でCm=0になるようにすると、尾翼の取り付け角が小さくなるんじゃない？
返信:
全体的にCmが小さくなるようにしてやるのでもいいとお思う。
返信:
あと右肩下がりに
返信:
全機で右肩さがりならいいのか？</t>
      </text>
    </comment>
    <comment ref="B11" authorId="2" shapeId="0" xr:uid="{29F7746C-97DD-48D4-86B7-31EFAE9A6D0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ここまで主翼
返信:
テーパー増やすと主翼の制作がだるくなる。やめとくのがよい。</t>
      </text>
    </comment>
    <comment ref="T11" authorId="3" shapeId="0" xr:uid="{9AFC1A1F-52E9-40DD-B01E-BFECC9A43E5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ここまで主翼
返信:
テーパー増やすと主翼の制作がだるくなる。やめとくのがよい。</t>
      </text>
    </comment>
    <comment ref="M206" authorId="4" shapeId="0" xr:uid="{E2A8D54B-FBA7-4305-BAB2-E90F188CCFA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たわみなし</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tc={7DCA3C99-5C26-47BB-A94B-D71CFA800E47}</author>
    <author>沖本和貴</author>
    <author>tc={0F4AEDF2-121E-48C5-8035-9EC2493B97BC}</author>
    <author>tc={A95CF9B6-E6BA-42FA-874D-219E83C1B36D}</author>
    <author>tc={69E3DA86-A442-4342-AD01-6036767C9570}</author>
  </authors>
  <commentList>
    <comment ref="F6" authorId="0" shapeId="0" xr:uid="{7DCA3C99-5C26-47BB-A94B-D71CFA800E4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構造シートから持ってきてください。</t>
      </text>
    </comment>
    <comment ref="AP11" authorId="1" shapeId="0" xr:uid="{1A29B9F7-0E28-4D19-9B3F-80F469075944}">
      <text>
        <r>
          <rPr>
            <b/>
            <sz val="9"/>
            <color indexed="81"/>
            <rFont val="ＭＳ Ｐゴシック"/>
            <family val="3"/>
            <charset val="128"/>
          </rPr>
          <t>沖本和貴</t>
        </r>
        <r>
          <rPr>
            <b/>
            <sz val="9"/>
            <color indexed="81"/>
            <rFont val="Tahoma"/>
            <family val="2"/>
          </rPr>
          <t>:</t>
        </r>
        <r>
          <rPr>
            <sz val="9"/>
            <color indexed="81"/>
            <rFont val="Tahoma"/>
            <family val="2"/>
          </rPr>
          <t xml:space="preserve">
</t>
        </r>
        <r>
          <rPr>
            <sz val="9"/>
            <color indexed="81"/>
            <rFont val="ＭＳ Ｐゴシック"/>
            <family val="3"/>
            <charset val="128"/>
          </rPr>
          <t>実測値</t>
        </r>
        <r>
          <rPr>
            <sz val="9"/>
            <color indexed="81"/>
            <rFont val="Tahoma"/>
            <family val="2"/>
          </rPr>
          <t>/</t>
        </r>
        <r>
          <rPr>
            <sz val="9"/>
            <color indexed="81"/>
            <rFont val="ＭＳ Ｐゴシック"/>
            <family val="3"/>
            <charset val="128"/>
          </rPr>
          <t>推算値の値を「誤差」に手入力して，実測値と推算値が同じになるようにする</t>
        </r>
      </text>
    </comment>
    <comment ref="Y12" authorId="2" shapeId="0" xr:uid="{0F4AEDF2-121E-48C5-8035-9EC2493B97BC}">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式ちょっと変わってる。
</t>
      </text>
    </comment>
    <comment ref="E42" authorId="3" shapeId="0" xr:uid="{A95CF9B6-E6BA-42FA-874D-219E83C1B36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制作シート参照</t>
      </text>
    </comment>
    <comment ref="AQ45" authorId="4" shapeId="0" xr:uid="{69E3DA86-A442-4342-AD01-6036767C957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LLTでだす。</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tc={FE433E0A-0444-4661-B2CA-D6BB6AAE9547}</author>
    <author>tc={08A2125E-7183-41BA-B7CD-A028787427E7}</author>
    <author>tc={17FDD505-8723-41E5-BD9A-C520C3DAD2DB}</author>
    <author>tc={D6C38502-47E9-4FAA-AE40-E51B1317B20C}</author>
    <author>tc={A0FD1631-D8C5-4C93-A012-7217EB2F1379}</author>
    <author>tc={94736EBC-3F57-40E7-AB93-37686D99B47C}</author>
    <author>tc={EAC0DBEB-0272-4CB2-AB60-47EDD2B9A923}</author>
  </authors>
  <commentList>
    <comment ref="S5" authorId="0" shapeId="0" xr:uid="{FE433E0A-0444-4661-B2CA-D6BB6AAE954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プルダウンなってるよ。
返信:
翼型ファイル読み込みでプルダウン増えるよ</t>
      </text>
    </comment>
    <comment ref="B15" authorId="1" shapeId="0" xr:uid="{08A2125E-7183-41BA-B7CD-A028787427E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コード長が固定されている</t>
      </text>
    </comment>
    <comment ref="D21" authorId="2" shapeId="0" xr:uid="{17FDD505-8723-41E5-BD9A-C520C3DAD2D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局所揚力係数は楕円分布から出している。</t>
      </text>
    </comment>
    <comment ref="B22" authorId="3" shapeId="0" xr:uid="{D6C38502-47E9-4FAA-AE40-E51B1317B20C}">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t>
      </text>
    </comment>
    <comment ref="F23" authorId="4" shapeId="0" xr:uid="{A0FD1631-D8C5-4C93-A012-7217EB2F137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フラット部分には幅がある。</t>
      </text>
    </comment>
    <comment ref="D33" authorId="5" shapeId="0" xr:uid="{94736EBC-3F57-40E7-AB93-37686D99B47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低速時つまり高Cl時は地面効果範囲内なのでそんなに気にせんでもよさそう</t>
      </text>
    </comment>
    <comment ref="B43" authorId="6" shapeId="0" xr:uid="{EAC0DBEB-0272-4CB2-AB60-47EDD2B9A92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実際はTR797はもっと翼根に揚力寄っているのでClたかめ</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tc={0AC94413-B80B-4648-AD49-DC850FBDF652}</author>
    <author>髙橋蓮弥</author>
    <author>芝田かずと</author>
  </authors>
  <commentList>
    <comment ref="F7" authorId="0" shapeId="0" xr:uid="{0AC94413-B80B-4648-AD49-DC850FBDF652}">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解析範囲使うところだけにしといたほうが精度はよくなる。
</t>
      </text>
    </comment>
    <comment ref="R14" authorId="1" shapeId="0" xr:uid="{EA070900-ABBD-40BC-877B-D42771F74B7D}">
      <text>
        <r>
          <rPr>
            <b/>
            <sz val="9"/>
            <color indexed="81"/>
            <rFont val="MS P ゴシック"/>
            <family val="3"/>
            <charset val="128"/>
          </rPr>
          <t>髙橋蓮弥:</t>
        </r>
        <r>
          <rPr>
            <sz val="9"/>
            <color indexed="81"/>
            <rFont val="MS P ゴシック"/>
            <family val="3"/>
            <charset val="128"/>
          </rPr>
          <t xml:space="preserve">
マクロ回さないと変わらないよ。</t>
        </r>
      </text>
    </comment>
    <comment ref="Q18" authorId="2" shapeId="0" xr:uid="{7D3615C2-22E2-4BC0-9C6A-FF320E00605E}">
      <text>
        <r>
          <rPr>
            <b/>
            <sz val="9"/>
            <color indexed="81"/>
            <rFont val="MS P ゴシック"/>
            <family val="3"/>
            <charset val="128"/>
          </rPr>
          <t>芝田かずと:</t>
        </r>
        <r>
          <rPr>
            <sz val="9"/>
            <color indexed="81"/>
            <rFont val="MS P ゴシック"/>
            <family val="3"/>
            <charset val="128"/>
          </rPr>
          <t xml:space="preserve">
桁位置での翼厚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芝田かずと</author>
  </authors>
  <commentList>
    <comment ref="Q18" authorId="0" shapeId="0" xr:uid="{9E331F90-3CC1-4EC7-9C0E-F37DC234CD4F}">
      <text>
        <r>
          <rPr>
            <b/>
            <sz val="9"/>
            <color indexed="81"/>
            <rFont val="MS P ゴシック"/>
            <family val="3"/>
            <charset val="128"/>
          </rPr>
          <t>芝田かずと:</t>
        </r>
        <r>
          <rPr>
            <sz val="9"/>
            <color indexed="81"/>
            <rFont val="MS P ゴシック"/>
            <family val="3"/>
            <charset val="128"/>
          </rPr>
          <t xml:space="preserve">
桁位置での翼厚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芝田かずと</author>
  </authors>
  <commentList>
    <comment ref="Q18" authorId="0" shapeId="0" xr:uid="{A7CB9676-DAFB-48D5-8C51-BF6FA22938E2}">
      <text>
        <r>
          <rPr>
            <b/>
            <sz val="9"/>
            <color indexed="81"/>
            <rFont val="MS P ゴシック"/>
            <family val="3"/>
            <charset val="128"/>
          </rPr>
          <t>芝田かずと:</t>
        </r>
        <r>
          <rPr>
            <sz val="9"/>
            <color indexed="81"/>
            <rFont val="MS P ゴシック"/>
            <family val="3"/>
            <charset val="128"/>
          </rPr>
          <t xml:space="preserve">
桁位置での翼厚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芝田かずと</author>
  </authors>
  <commentList>
    <comment ref="Q18" authorId="0" shapeId="0" xr:uid="{7A0B8CF8-4AC0-4914-8B27-12F18418C2BA}">
      <text>
        <r>
          <rPr>
            <b/>
            <sz val="9"/>
            <color indexed="81"/>
            <rFont val="MS P ゴシック"/>
            <family val="3"/>
            <charset val="128"/>
          </rPr>
          <t>芝田かずと:</t>
        </r>
        <r>
          <rPr>
            <sz val="9"/>
            <color indexed="81"/>
            <rFont val="MS P ゴシック"/>
            <family val="3"/>
            <charset val="128"/>
          </rPr>
          <t xml:space="preserve">
桁位置での翼厚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芝田かずと</author>
  </authors>
  <commentList>
    <comment ref="Q18" authorId="0" shapeId="0" xr:uid="{3CC8E1AA-400E-4A1C-8742-B1484FCBFE2E}">
      <text>
        <r>
          <rPr>
            <b/>
            <sz val="9"/>
            <color indexed="81"/>
            <rFont val="MS P ゴシック"/>
            <family val="3"/>
            <charset val="128"/>
          </rPr>
          <t>芝田かずと:</t>
        </r>
        <r>
          <rPr>
            <sz val="9"/>
            <color indexed="81"/>
            <rFont val="MS P ゴシック"/>
            <family val="3"/>
            <charset val="128"/>
          </rPr>
          <t xml:space="preserve">
桁位置での翼厚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Microsoft Office User</author>
    <author>tc={5E00AE0C-808D-4550-AF86-C10F067DE9B7}</author>
    <author>tc={1C33A88C-3BBE-431A-B292-E90C6EED8197}</author>
  </authors>
  <commentList>
    <comment ref="B16" authorId="0" shapeId="0" xr:uid="{7D50C3BF-05FE-4B37-BC17-5928E19B540A}">
      <text>
        <r>
          <rPr>
            <b/>
            <sz val="10"/>
            <color rgb="FF000000"/>
            <rFont val="Yu Gothic UI"/>
            <family val="3"/>
            <charset val="128"/>
          </rPr>
          <t>森</t>
        </r>
        <r>
          <rPr>
            <b/>
            <sz val="10"/>
            <color rgb="FF000000"/>
            <rFont val="Yu Gothic UI"/>
            <family val="3"/>
            <charset val="128"/>
          </rPr>
          <t>:</t>
        </r>
        <r>
          <rPr>
            <sz val="10"/>
            <color rgb="FF000000"/>
            <rFont val="Yu Gothic UI"/>
            <family val="3"/>
            <charset val="128"/>
          </rPr>
          <t xml:space="preserve">
</t>
        </r>
        <r>
          <rPr>
            <sz val="10"/>
            <color rgb="FF000000"/>
            <rFont val="Yu Gothic UI"/>
            <family val="3"/>
            <charset val="128"/>
          </rPr>
          <t>服、靴、ヘルメットを含む</t>
        </r>
      </text>
    </comment>
    <comment ref="L26" authorId="1" shapeId="0" xr:uid="{5E00AE0C-808D-4550-AF86-C10F067DE9B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距離飛びたいとき</t>
      </text>
    </comment>
    <comment ref="M26" authorId="2" shapeId="0" xr:uid="{1C33A88C-3BBE-431A-B292-E90C6EED819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時間とびたいとき</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fumiya</author>
    <author>沖本和貴</author>
  </authors>
  <commentList>
    <comment ref="AC4" authorId="0" shapeId="0" xr:uid="{CD87D708-B763-4840-B2A4-4099593DBDC8}">
      <text>
        <r>
          <rPr>
            <sz val="9"/>
            <color indexed="81"/>
            <rFont val="宋体"/>
            <charset val="128"/>
          </rPr>
          <t>新宅史哉:
ここから低翼左右非対称機</t>
        </r>
      </text>
    </comment>
    <comment ref="C21" authorId="1" shapeId="0" xr:uid="{75477A06-37ED-4974-AB7C-78741C6351AD}">
      <text>
        <r>
          <rPr>
            <b/>
            <sz val="9"/>
            <color indexed="81"/>
            <rFont val="MS P ゴシック"/>
            <family val="3"/>
            <charset val="128"/>
          </rPr>
          <t>沖本和貴:</t>
        </r>
        <r>
          <rPr>
            <sz val="9"/>
            <color indexed="81"/>
            <rFont val="MS P ゴシック"/>
            <family val="3"/>
            <charset val="128"/>
          </rPr>
          <t xml:space="preserve">
0番桁中心からの距離</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tc={DAF29594-C2F4-4A90-B52A-F5ADBAD8CD27}</author>
    <author>tc={C8954898-428E-4F0C-A4C7-306A9061A7C8}</author>
    <author>tc={E71368B3-4FEE-4458-A4F7-97D08402A252}</author>
    <author>tc={F1A6B4FB-9700-4224-B5FD-72809061D688}</author>
    <author>tc={0A728E8D-B7D7-4B6A-91AC-CDB7334CA350}</author>
    <author>tc={452B522D-9AA7-4FDC-B891-C051651DAF16}</author>
    <author>tc={8C279714-98DB-4E98-93A1-194B6DC80012}</author>
    <author>tc={5E7F24F9-F3BC-480C-B044-C6EF58B69576}</author>
    <author>tc={F4A3EFF2-AD60-4698-8F9C-D55367C1C35C}</author>
  </authors>
  <commentList>
    <comment ref="G53" authorId="0" shapeId="0" xr:uid="{DAF29594-C2F4-4A90-B52A-F5ADBAD8CD2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単位面積当たり繊維質量</t>
      </text>
    </comment>
    <comment ref="B56" authorId="1" shapeId="0" xr:uid="{C8954898-428E-4F0C-A4C7-306A9061A7C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強度の物性値はMRX350G125Sのもの．
使っている炭素繊維，樹脂はMR380G150Sと同じものなので物性値はほぼ同等
(沖本)</t>
      </text>
    </comment>
    <comment ref="N57" authorId="2" shapeId="0" xr:uid="{E71368B3-4FEE-4458-A4F7-97D08402A25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ベッチの相反定理より</t>
      </text>
    </comment>
    <comment ref="P57" authorId="3" shapeId="0" xr:uid="{F1A6B4FB-9700-4224-B5FD-72809061D68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引張×0.9</t>
      </text>
    </comment>
    <comment ref="Q57" authorId="4" shapeId="0" xr:uid="{0A728E8D-B7D7-4B6A-91AC-CDB7334CA35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R57" authorId="5" shapeId="0" xr:uid="{452B522D-9AA7-4FDC-B891-C051651DAF1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 ref="S57" authorId="6" shapeId="0" xr:uid="{8C279714-98DB-4E98-93A1-194B6DC8001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引張×1.1</t>
      </text>
    </comment>
    <comment ref="T57" authorId="7" shapeId="0" xr:uid="{5E7F24F9-F3BC-480C-B044-C6EF58B6957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U57" authorId="8" shapeId="0" xr:uid="{F4A3EFF2-AD60-4698-8F9C-D55367C1C35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tc={5FD1A370-76D9-40B2-9A3D-FB1E877DD3A4}</author>
    <author>髙橋蓮弥</author>
    <author>芝田かずと</author>
  </authors>
  <commentList>
    <comment ref="F7" authorId="0" shapeId="0" xr:uid="{5FD1A370-76D9-40B2-9A3D-FB1E877DD3A4}">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解析範囲使うところだけにしといたほうが精度はよくなる。
</t>
      </text>
    </comment>
    <comment ref="R14" authorId="1" shapeId="0" xr:uid="{7D074D04-8589-4853-8B05-658D570E6683}">
      <text>
        <r>
          <rPr>
            <b/>
            <sz val="9"/>
            <color indexed="81"/>
            <rFont val="MS P ゴシック"/>
            <family val="3"/>
            <charset val="128"/>
          </rPr>
          <t>髙橋蓮弥:</t>
        </r>
        <r>
          <rPr>
            <sz val="9"/>
            <color indexed="81"/>
            <rFont val="MS P ゴシック"/>
            <family val="3"/>
            <charset val="128"/>
          </rPr>
          <t xml:space="preserve">
マクロ回さないと変わらないよ。</t>
        </r>
      </text>
    </comment>
    <comment ref="Q18" authorId="2" shapeId="0" xr:uid="{24C7E55F-4596-4E3A-84F5-DD0D300C8265}">
      <text>
        <r>
          <rPr>
            <b/>
            <sz val="9"/>
            <color indexed="81"/>
            <rFont val="MS P ゴシック"/>
            <family val="3"/>
            <charset val="128"/>
          </rPr>
          <t>芝田かずと:</t>
        </r>
        <r>
          <rPr>
            <sz val="9"/>
            <color indexed="81"/>
            <rFont val="MS P ゴシック"/>
            <family val="3"/>
            <charset val="128"/>
          </rPr>
          <t xml:space="preserve">
桁位置での翼厚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tc={8BB2E310-AD76-4801-AE1C-DDFDA2926778}</author>
    <author>髙橋蓮弥</author>
    <author>芝田かずと</author>
  </authors>
  <commentList>
    <comment ref="F7" authorId="0" shapeId="0" xr:uid="{8BB2E310-AD76-4801-AE1C-DDFDA2926778}">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解析範囲使うところだけにしといたほうが精度はよくなる。
</t>
      </text>
    </comment>
    <comment ref="R14" authorId="1" shapeId="0" xr:uid="{74627FE1-3734-4E4F-9E7F-2696B1547CD0}">
      <text>
        <r>
          <rPr>
            <b/>
            <sz val="9"/>
            <color indexed="81"/>
            <rFont val="MS P ゴシック"/>
            <family val="3"/>
            <charset val="128"/>
          </rPr>
          <t>髙橋蓮弥:</t>
        </r>
        <r>
          <rPr>
            <sz val="9"/>
            <color indexed="81"/>
            <rFont val="MS P ゴシック"/>
            <family val="3"/>
            <charset val="128"/>
          </rPr>
          <t xml:space="preserve">
マクロ回さないと変わらないよ。</t>
        </r>
      </text>
    </comment>
    <comment ref="Q18" authorId="2" shapeId="0" xr:uid="{7FC200E3-1A5E-4939-83AC-4305E24615F8}">
      <text>
        <r>
          <rPr>
            <b/>
            <sz val="9"/>
            <color indexed="81"/>
            <rFont val="MS P ゴシック"/>
            <family val="3"/>
            <charset val="128"/>
          </rPr>
          <t>芝田かずと:</t>
        </r>
        <r>
          <rPr>
            <sz val="9"/>
            <color indexed="81"/>
            <rFont val="MS P ゴシック"/>
            <family val="3"/>
            <charset val="128"/>
          </rPr>
          <t xml:space="preserve">
桁位置での翼厚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髙橋蓮弥</author>
    <author>沖本和貴</author>
  </authors>
  <commentList>
    <comment ref="H7" authorId="0" shapeId="0" xr:uid="{74D7BC12-44D4-4E99-B837-F26D18FBC27E}">
      <text>
        <r>
          <rPr>
            <b/>
            <sz val="9"/>
            <color indexed="81"/>
            <rFont val="MS P ゴシック"/>
            <family val="3"/>
            <charset val="128"/>
          </rPr>
          <t>髙橋蓮弥:</t>
        </r>
        <r>
          <rPr>
            <sz val="9"/>
            <color indexed="81"/>
            <rFont val="MS P ゴシック"/>
            <family val="3"/>
            <charset val="128"/>
          </rPr>
          <t xml:space="preserve">
テントの制約が何とかならない限り変わらないと思う。</t>
        </r>
      </text>
    </comment>
    <comment ref="H8" authorId="0" shapeId="0" xr:uid="{B9126714-1989-4DD5-B2FF-9894A37B3540}">
      <text>
        <r>
          <rPr>
            <b/>
            <sz val="9"/>
            <color indexed="81"/>
            <rFont val="MS P ゴシック"/>
            <family val="3"/>
            <charset val="128"/>
          </rPr>
          <t>髙橋蓮弥:</t>
        </r>
        <r>
          <rPr>
            <sz val="9"/>
            <color indexed="81"/>
            <rFont val="MS P ゴシック"/>
            <family val="3"/>
            <charset val="128"/>
          </rPr>
          <t xml:space="preserve">
全機でCm＝0になるようにするとよい。
</t>
        </r>
      </text>
    </comment>
    <comment ref="B9" authorId="1" shapeId="0" xr:uid="{A16148CC-66AC-416F-91A6-09585F6D9E5A}">
      <text>
        <r>
          <rPr>
            <b/>
            <sz val="9"/>
            <color indexed="81"/>
            <rFont val="MS P ゴシック"/>
            <family val="3"/>
            <charset val="128"/>
          </rPr>
          <t>沖本和貴:</t>
        </r>
        <r>
          <rPr>
            <sz val="9"/>
            <color indexed="81"/>
            <rFont val="MS P ゴシック"/>
            <family val="3"/>
            <charset val="128"/>
          </rPr>
          <t xml:space="preserve">
機体重心から垂直尾翼下端までのZ方向の距離</t>
        </r>
      </text>
    </comment>
    <comment ref="B11" authorId="1" shapeId="0" xr:uid="{20C7F801-44CF-4D71-85A1-03009D51A658}">
      <text>
        <r>
          <rPr>
            <b/>
            <sz val="9"/>
            <color indexed="81"/>
            <rFont val="MS P ゴシック"/>
            <family val="3"/>
            <charset val="128"/>
          </rPr>
          <t>沖本和貴:</t>
        </r>
        <r>
          <rPr>
            <sz val="9"/>
            <color indexed="81"/>
            <rFont val="MS P ゴシック"/>
            <family val="3"/>
            <charset val="128"/>
          </rPr>
          <t xml:space="preserve">
機体軸に対して頭上げを正</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沖本和貴</author>
    <author>tc={1AAC9F30-7557-48FF-859D-207CD06BB740}</author>
  </authors>
  <commentList>
    <comment ref="B4" authorId="0" shapeId="0" xr:uid="{407FFC0E-B7D0-4A16-B0BA-B9EB53FCE776}">
      <text>
        <r>
          <rPr>
            <b/>
            <sz val="9"/>
            <color indexed="81"/>
            <rFont val="MS P ゴシック"/>
            <family val="3"/>
            <charset val="128"/>
          </rPr>
          <t>沖本和貴:</t>
        </r>
        <r>
          <rPr>
            <sz val="9"/>
            <color indexed="81"/>
            <rFont val="MS P ゴシック"/>
            <family val="3"/>
            <charset val="128"/>
          </rPr>
          <t xml:space="preserve">
アラカワを含む</t>
        </r>
      </text>
    </comment>
    <comment ref="D4" authorId="1" shapeId="0" xr:uid="{1AAC9F30-7557-48FF-859D-207CD06BB74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構造シートから引っ張ってきてね。</t>
      </text>
    </comment>
    <comment ref="B5" authorId="0" shapeId="0" xr:uid="{388B717B-0E7C-44D9-ACD4-751C85829BDE}">
      <text>
        <r>
          <rPr>
            <b/>
            <sz val="9"/>
            <color indexed="81"/>
            <rFont val="MS P ゴシック"/>
            <family val="3"/>
            <charset val="128"/>
          </rPr>
          <t>沖本和貴:</t>
        </r>
        <r>
          <rPr>
            <sz val="9"/>
            <color indexed="81"/>
            <rFont val="MS P ゴシック"/>
            <family val="3"/>
            <charset val="128"/>
          </rPr>
          <t xml:space="preserve">
0番桁+0番主翼二次構造</t>
        </r>
      </text>
    </comment>
    <comment ref="J5" authorId="0" shapeId="0" xr:uid="{87D32921-4336-494D-8091-6177FEE32965}">
      <text>
        <r>
          <rPr>
            <b/>
            <sz val="9"/>
            <color indexed="81"/>
            <rFont val="MS P ゴシック"/>
            <family val="3"/>
            <charset val="128"/>
          </rPr>
          <t>沖本和貴:</t>
        </r>
        <r>
          <rPr>
            <sz val="9"/>
            <color indexed="81"/>
            <rFont val="MS P ゴシック"/>
            <family val="3"/>
            <charset val="128"/>
          </rPr>
          <t xml:space="preserve">
0番桁中心からの距離</t>
        </r>
      </text>
    </comment>
    <comment ref="Q17" authorId="0" shapeId="0" xr:uid="{DF0CC3CD-64B7-4B45-A372-4BDBAF899908}">
      <text>
        <r>
          <rPr>
            <b/>
            <sz val="9"/>
            <color indexed="81"/>
            <rFont val="MS P ゴシック"/>
            <family val="3"/>
            <charset val="128"/>
          </rPr>
          <t>沖本和貴:</t>
        </r>
        <r>
          <rPr>
            <sz val="9"/>
            <color indexed="81"/>
            <rFont val="MS P ゴシック"/>
            <family val="3"/>
            <charset val="128"/>
          </rPr>
          <t xml:space="preserve">
パイロットの慣性モーメントはfusion360のモデリング結果より</t>
        </r>
      </text>
    </comment>
    <comment ref="J19" authorId="0" shapeId="0" xr:uid="{F7730F78-555C-4BF7-9536-4EF38E3F8C13}">
      <text>
        <r>
          <rPr>
            <b/>
            <sz val="9"/>
            <color indexed="81"/>
            <rFont val="MS P ゴシック"/>
            <family val="3"/>
            <charset val="128"/>
          </rPr>
          <t>沖本和貴:</t>
        </r>
        <r>
          <rPr>
            <sz val="9"/>
            <color indexed="81"/>
            <rFont val="MS P ゴシック"/>
            <family val="3"/>
            <charset val="128"/>
          </rPr>
          <t xml:space="preserve">
0番桁中心からの距離</t>
        </r>
      </text>
    </comment>
    <comment ref="J28" authorId="0" shapeId="0" xr:uid="{0F770D37-F7C3-41B8-8DC6-07E74A9C26F8}">
      <text>
        <r>
          <rPr>
            <b/>
            <sz val="9"/>
            <color indexed="81"/>
            <rFont val="MS P ゴシック"/>
            <family val="3"/>
            <charset val="128"/>
          </rPr>
          <t>沖本和貴:</t>
        </r>
        <r>
          <rPr>
            <sz val="9"/>
            <color indexed="81"/>
            <rFont val="MS P ゴシック"/>
            <family val="3"/>
            <charset val="128"/>
          </rPr>
          <t xml:space="preserve">
全機重心からそれぞれの重心位置までの距離</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<sst xmlns="http://schemas.openxmlformats.org/spreadsheetml/2006/main" count="3189" uniqueCount="1192">
  <si>
    <t>名</t>
    <rPh sb="0" eb="1">
      <t>メイ</t>
    </rPh>
    <phoneticPr fontId="1"/>
  </si>
  <si>
    <t>記号</t>
    <rPh sb="0" eb="2">
      <t>キゴウ</t>
    </rPh>
    <phoneticPr fontId="1"/>
  </si>
  <si>
    <t>単位</t>
    <rPh sb="0" eb="2">
      <t>タンイ</t>
    </rPh>
    <phoneticPr fontId="1"/>
  </si>
  <si>
    <t>年</t>
    <rPh sb="0" eb="1">
      <t>トシ</t>
    </rPh>
    <phoneticPr fontId="2"/>
  </si>
  <si>
    <t>機体名</t>
    <rPh sb="0" eb="2">
      <t>キタイ</t>
    </rPh>
    <rPh sb="2" eb="3">
      <t>メイ</t>
    </rPh>
    <phoneticPr fontId="2"/>
  </si>
  <si>
    <t>QX-24</t>
    <phoneticPr fontId="2"/>
  </si>
  <si>
    <t>QX-23</t>
    <phoneticPr fontId="2"/>
  </si>
  <si>
    <t>QX-22</t>
    <phoneticPr fontId="2"/>
  </si>
  <si>
    <t>QX-21</t>
  </si>
  <si>
    <t>QX-20</t>
  </si>
  <si>
    <t>QX-19</t>
    <phoneticPr fontId="4"/>
  </si>
  <si>
    <t>QX-18</t>
  </si>
  <si>
    <t>QX-17</t>
  </si>
  <si>
    <t>QX-16</t>
  </si>
  <si>
    <t>QX-15</t>
  </si>
  <si>
    <t>QX-14</t>
  </si>
  <si>
    <t>QX-13</t>
  </si>
  <si>
    <t>QX-12</t>
  </si>
  <si>
    <t>QX-11</t>
  </si>
  <si>
    <t>QX-10</t>
  </si>
  <si>
    <t>QX-09</t>
  </si>
  <si>
    <t>QX-08</t>
  </si>
  <si>
    <t>QX-07</t>
  </si>
  <si>
    <t>QX-06</t>
  </si>
  <si>
    <t>QX-05</t>
  </si>
  <si>
    <t>QX-04</t>
  </si>
  <si>
    <t>QX-03</t>
  </si>
  <si>
    <t>パイロット</t>
  </si>
  <si>
    <t>川野聖人</t>
    <rPh sb="0" eb="4">
      <t>カワノマサト</t>
    </rPh>
    <phoneticPr fontId="2"/>
  </si>
  <si>
    <t>川野聖人</t>
    <rPh sb="0" eb="2">
      <t>カワノ</t>
    </rPh>
    <rPh sb="2" eb="4">
      <t>マサト</t>
    </rPh>
    <phoneticPr fontId="2"/>
  </si>
  <si>
    <t>菊池正真</t>
    <rPh sb="0" eb="2">
      <t>キクチ</t>
    </rPh>
    <rPh sb="2" eb="4">
      <t>ショウマ</t>
    </rPh>
    <phoneticPr fontId="2"/>
  </si>
  <si>
    <t>大島茜理</t>
    <rPh sb="0" eb="2">
      <t>オオシマ</t>
    </rPh>
    <rPh sb="2" eb="3">
      <t>アカネ</t>
    </rPh>
    <rPh sb="3" eb="4">
      <t>リ</t>
    </rPh>
    <phoneticPr fontId="2"/>
  </si>
  <si>
    <t>永田優希</t>
  </si>
  <si>
    <t>坂口光輝</t>
  </si>
  <si>
    <t>石丸隆宏</t>
  </si>
  <si>
    <t>日下部紘亮</t>
  </si>
  <si>
    <t>柿木基志</t>
  </si>
  <si>
    <t>三浦亮介</t>
  </si>
  <si>
    <t>池田大輔</t>
  </si>
  <si>
    <t>設計責任者</t>
  </si>
  <si>
    <t>森隼人</t>
    <rPh sb="0" eb="3">
      <t>モリハヤト</t>
    </rPh>
    <phoneticPr fontId="2"/>
  </si>
  <si>
    <t>山下湧</t>
    <rPh sb="0" eb="2">
      <t>ヤマシタ</t>
    </rPh>
    <rPh sb="2" eb="3">
      <t>ユウ</t>
    </rPh>
    <phoneticPr fontId="2"/>
  </si>
  <si>
    <t>清水俊太郎</t>
    <rPh sb="0" eb="2">
      <t>シミズ</t>
    </rPh>
    <rPh sb="2" eb="5">
      <t>シュンタロウ</t>
    </rPh>
    <phoneticPr fontId="2"/>
  </si>
  <si>
    <t>沖本和貴</t>
    <rPh sb="0" eb="2">
      <t>オキモト</t>
    </rPh>
    <rPh sb="2" eb="4">
      <t>カズキ</t>
    </rPh>
    <phoneticPr fontId="2"/>
  </si>
  <si>
    <t>(空力) 馬場清希/(構造) 辻大樹</t>
    <rPh sb="1" eb="3">
      <t>クウリキ</t>
    </rPh>
    <rPh sb="5" eb="7">
      <t>ババ</t>
    </rPh>
    <rPh sb="7" eb="8">
      <t>キヨ</t>
    </rPh>
    <rPh sb="8" eb="9">
      <t>キ</t>
    </rPh>
    <phoneticPr fontId="4"/>
  </si>
  <si>
    <t>新宅史哉</t>
  </si>
  <si>
    <t>寺山亮太</t>
  </si>
  <si>
    <t>金澤寿明</t>
  </si>
  <si>
    <t>樋口雄紀</t>
  </si>
  <si>
    <t>岡田拓也</t>
  </si>
  <si>
    <t>重冨貞成</t>
  </si>
  <si>
    <t>國武成仁</t>
  </si>
  <si>
    <t>山田寛</t>
  </si>
  <si>
    <t>白桃拓哉</t>
  </si>
  <si>
    <t>新見征之</t>
  </si>
  <si>
    <t>中村典生</t>
  </si>
  <si>
    <t>三木貴文</t>
  </si>
  <si>
    <t>伊庭周作</t>
  </si>
  <si>
    <t>宮本真吾</t>
  </si>
  <si>
    <t>瀬戸山正幸</t>
  </si>
  <si>
    <t>阿知波哲史</t>
  </si>
  <si>
    <t>代表</t>
  </si>
  <si>
    <t>山下湧</t>
  </si>
  <si>
    <t>馬場清希</t>
    <rPh sb="0" eb="2">
      <t>ババ</t>
    </rPh>
    <rPh sb="2" eb="3">
      <t>キヨシ</t>
    </rPh>
    <rPh sb="3" eb="4">
      <t>キ</t>
    </rPh>
    <phoneticPr fontId="2"/>
  </si>
  <si>
    <t>村上大祐</t>
    <rPh sb="0" eb="2">
      <t>ムラカミ</t>
    </rPh>
    <rPh sb="2" eb="4">
      <t>ダイスケ</t>
    </rPh>
    <phoneticPr fontId="4"/>
  </si>
  <si>
    <t>江口弘人</t>
  </si>
  <si>
    <t>大澤啓介</t>
  </si>
  <si>
    <t>吉松佑樹</t>
  </si>
  <si>
    <t>行武紀昭</t>
  </si>
  <si>
    <t>和田優登</t>
  </si>
  <si>
    <t>後藤浩輝</t>
  </si>
  <si>
    <t>飛距離</t>
    <rPh sb="0" eb="3">
      <t>ヒキョリ</t>
    </rPh>
    <phoneticPr fontId="2"/>
  </si>
  <si>
    <t>コロナウイルス</t>
    <phoneticPr fontId="2"/>
  </si>
  <si>
    <t>リーマンショック</t>
  </si>
  <si>
    <t>順位</t>
    <rPh sb="0" eb="2">
      <t>ジュンイ</t>
    </rPh>
    <phoneticPr fontId="2"/>
  </si>
  <si>
    <t>大会中止</t>
    <rPh sb="0" eb="2">
      <t>タイカイ</t>
    </rPh>
    <rPh sb="2" eb="4">
      <t>チュウシ</t>
    </rPh>
    <phoneticPr fontId="2"/>
  </si>
  <si>
    <t>大会中止</t>
  </si>
  <si>
    <t>-</t>
  </si>
  <si>
    <t>操舵可能性</t>
    <rPh sb="0" eb="2">
      <t>ソウダ</t>
    </rPh>
    <rPh sb="2" eb="4">
      <t>カノウ</t>
    </rPh>
    <rPh sb="4" eb="5">
      <t>セイ</t>
    </rPh>
    <phoneticPr fontId="2"/>
  </si>
  <si>
    <t>elevetor</t>
    <phoneticPr fontId="2"/>
  </si>
  <si>
    <t>エレベーター</t>
    <phoneticPr fontId="2"/>
  </si>
  <si>
    <t>エレベータ</t>
    <phoneticPr fontId="4"/>
  </si>
  <si>
    <t>エレベータ</t>
  </si>
  <si>
    <t>ladder</t>
    <phoneticPr fontId="2"/>
  </si>
  <si>
    <t>ラダー</t>
    <phoneticPr fontId="2"/>
  </si>
  <si>
    <t>ラダー</t>
  </si>
  <si>
    <t>ラダー</t>
    <phoneticPr fontId="4"/>
  </si>
  <si>
    <t>基準状態</t>
    <rPh sb="0" eb="2">
      <t>キジュン</t>
    </rPh>
    <rPh sb="2" eb="4">
      <t>ジョウタイ</t>
    </rPh>
    <phoneticPr fontId="2"/>
  </si>
  <si>
    <t>全機迎角</t>
  </si>
  <si>
    <t>α</t>
  </si>
  <si>
    <t>deg</t>
  </si>
  <si>
    <t>横滑り角</t>
  </si>
  <si>
    <t>β</t>
  </si>
  <si>
    <t>対気速度</t>
  </si>
  <si>
    <t>V</t>
  </si>
  <si>
    <t>m/s</t>
  </si>
  <si>
    <t>高度</t>
  </si>
  <si>
    <t>hE</t>
  </si>
  <si>
    <t>m</t>
  </si>
  <si>
    <t>重量</t>
    <rPh sb="0" eb="2">
      <t>ジュウリョウ</t>
    </rPh>
    <phoneticPr fontId="2"/>
  </si>
  <si>
    <t>機体重量</t>
    <rPh sb="0" eb="2">
      <t>キタイ</t>
    </rPh>
    <rPh sb="2" eb="4">
      <t>ジュウリョウ</t>
    </rPh>
    <phoneticPr fontId="1"/>
  </si>
  <si>
    <t>kg</t>
  </si>
  <si>
    <t>パイロット重量</t>
    <rPh sb="5" eb="7">
      <t>ジュウリョウ</t>
    </rPh>
    <phoneticPr fontId="1"/>
  </si>
  <si>
    <t>全備重量（質量）</t>
    <rPh sb="0" eb="2">
      <t>ゼンビ</t>
    </rPh>
    <rPh sb="2" eb="4">
      <t>ジュウリョウ</t>
    </rPh>
    <rPh sb="5" eb="7">
      <t>シツリョウ</t>
    </rPh>
    <phoneticPr fontId="1"/>
  </si>
  <si>
    <t>全備重量（重量）</t>
    <rPh sb="0" eb="2">
      <t>ゼンビ</t>
    </rPh>
    <rPh sb="2" eb="4">
      <t>ジュウリョウ</t>
    </rPh>
    <rPh sb="5" eb="7">
      <t>ジュウリョウ</t>
    </rPh>
    <phoneticPr fontId="1"/>
  </si>
  <si>
    <t>W</t>
  </si>
  <si>
    <t>N</t>
  </si>
  <si>
    <t>翼面荷重</t>
    <rPh sb="0" eb="1">
      <t>ヨク</t>
    </rPh>
    <rPh sb="1" eb="2">
      <t>メン</t>
    </rPh>
    <rPh sb="2" eb="4">
      <t>カジュウ</t>
    </rPh>
    <phoneticPr fontId="1"/>
  </si>
  <si>
    <t>W/S</t>
  </si>
  <si>
    <t>kg/m^2</t>
  </si>
  <si>
    <t>重心位置</t>
    <rPh sb="0" eb="2">
      <t>ジュウシン</t>
    </rPh>
    <rPh sb="2" eb="4">
      <t>イチ</t>
    </rPh>
    <phoneticPr fontId="2"/>
  </si>
  <si>
    <t>重心位置</t>
    <rPh sb="0" eb="2">
      <t>ジュウシン</t>
    </rPh>
    <rPh sb="2" eb="4">
      <t>イチ</t>
    </rPh>
    <phoneticPr fontId="1"/>
  </si>
  <si>
    <t>Zcg</t>
  </si>
  <si>
    <t>hcg</t>
  </si>
  <si>
    <t>全機空力中心位置</t>
    <rPh sb="0" eb="6">
      <t>ゼンキクウリキチュウシン</t>
    </rPh>
    <rPh sb="6" eb="8">
      <t>イチ</t>
    </rPh>
    <phoneticPr fontId="1"/>
  </si>
  <si>
    <t>hn</t>
  </si>
  <si>
    <t>面積</t>
    <rPh sb="0" eb="2">
      <t>メンセキ</t>
    </rPh>
    <phoneticPr fontId="2"/>
  </si>
  <si>
    <t>主翼</t>
    <rPh sb="0" eb="2">
      <t>シュヨク</t>
    </rPh>
    <phoneticPr fontId="1"/>
  </si>
  <si>
    <t>S</t>
  </si>
  <si>
    <t>m^2</t>
  </si>
  <si>
    <t>水平尾翼</t>
    <rPh sb="0" eb="2">
      <t>スイヘイ</t>
    </rPh>
    <rPh sb="2" eb="4">
      <t>ビヨク</t>
    </rPh>
    <phoneticPr fontId="1"/>
  </si>
  <si>
    <t>St</t>
  </si>
  <si>
    <t>垂直尾翼</t>
    <rPh sb="0" eb="2">
      <t>スイチョク</t>
    </rPh>
    <rPh sb="2" eb="4">
      <t>ビヨク</t>
    </rPh>
    <phoneticPr fontId="1"/>
  </si>
  <si>
    <t>Sf</t>
  </si>
  <si>
    <t>主翼</t>
    <rPh sb="0" eb="2">
      <t>シュヨク</t>
    </rPh>
    <phoneticPr fontId="2"/>
  </si>
  <si>
    <t>翼幅</t>
  </si>
  <si>
    <t>b</t>
  </si>
  <si>
    <t>アスペクト比</t>
  </si>
  <si>
    <t>AR</t>
  </si>
  <si>
    <t>平均空力翼弦長</t>
  </si>
  <si>
    <t>c_</t>
  </si>
  <si>
    <t>片翼面積重心</t>
  </si>
  <si>
    <t>y_</t>
  </si>
  <si>
    <t>空力中心</t>
  </si>
  <si>
    <t>hac</t>
  </si>
  <si>
    <t>翼効率</t>
  </si>
  <si>
    <t>e</t>
  </si>
  <si>
    <t>二次元揚力傾斜</t>
    <rPh sb="0" eb="1">
      <t>ニ</t>
    </rPh>
    <rPh sb="1" eb="3">
      <t>ジゲン</t>
    </rPh>
    <rPh sb="3" eb="5">
      <t>ヨウリョク</t>
    </rPh>
    <rPh sb="5" eb="7">
      <t>ケイシャ</t>
    </rPh>
    <phoneticPr fontId="2"/>
  </si>
  <si>
    <t>Cla</t>
    <phoneticPr fontId="2"/>
  </si>
  <si>
    <t>平均誘導迎え角</t>
  </si>
  <si>
    <t>αi_</t>
  </si>
  <si>
    <t>桁位置</t>
    <rPh sb="0" eb="1">
      <t>ケタ</t>
    </rPh>
    <rPh sb="1" eb="3">
      <t>イチ</t>
    </rPh>
    <phoneticPr fontId="1"/>
  </si>
  <si>
    <t>-</t>
    <phoneticPr fontId="2"/>
  </si>
  <si>
    <t>翼端たわみ</t>
    <rPh sb="0" eb="2">
      <t>ヨクタン</t>
    </rPh>
    <phoneticPr fontId="2"/>
  </si>
  <si>
    <t>w</t>
    <phoneticPr fontId="2"/>
  </si>
  <si>
    <t>m</t>
    <phoneticPr fontId="2"/>
  </si>
  <si>
    <t>翼端ねじれ角</t>
    <rPh sb="0" eb="1">
      <t>ヨク</t>
    </rPh>
    <rPh sb="1" eb="2">
      <t>タン</t>
    </rPh>
    <rPh sb="5" eb="6">
      <t>カク</t>
    </rPh>
    <phoneticPr fontId="2"/>
  </si>
  <si>
    <t>Φ</t>
    <phoneticPr fontId="2"/>
  </si>
  <si>
    <t>deg</t>
    <phoneticPr fontId="2"/>
  </si>
  <si>
    <t>水平尾翼</t>
    <rPh sb="0" eb="2">
      <t>スイヘイ</t>
    </rPh>
    <rPh sb="2" eb="4">
      <t>ビヨク</t>
    </rPh>
    <phoneticPr fontId="2"/>
  </si>
  <si>
    <t>垂直尾翼</t>
    <rPh sb="0" eb="2">
      <t>スイチョク</t>
    </rPh>
    <rPh sb="2" eb="4">
      <t>ビヨク</t>
    </rPh>
    <phoneticPr fontId="2"/>
  </si>
  <si>
    <t>容積比</t>
    <rPh sb="0" eb="2">
      <t>ヨウセキ</t>
    </rPh>
    <rPh sb="2" eb="3">
      <t>ヒ</t>
    </rPh>
    <phoneticPr fontId="2"/>
  </si>
  <si>
    <t>水平尾翼容積比</t>
    <rPh sb="0" eb="2">
      <t>スイヘイ</t>
    </rPh>
    <rPh sb="2" eb="4">
      <t>ビヨク</t>
    </rPh>
    <rPh sb="4" eb="6">
      <t>ヨウセキ</t>
    </rPh>
    <rPh sb="6" eb="7">
      <t>ヒ</t>
    </rPh>
    <phoneticPr fontId="1"/>
  </si>
  <si>
    <t>VH or VH*</t>
  </si>
  <si>
    <t>VH' or VH*'</t>
  </si>
  <si>
    <t>垂直尾翼容積比</t>
    <rPh sb="0" eb="2">
      <t>スイチョク</t>
    </rPh>
    <rPh sb="2" eb="4">
      <t>ビヨク</t>
    </rPh>
    <rPh sb="4" eb="6">
      <t>ヨウセキ</t>
    </rPh>
    <rPh sb="6" eb="7">
      <t>ヒ</t>
    </rPh>
    <phoneticPr fontId="1"/>
  </si>
  <si>
    <t>VF or VF*</t>
  </si>
  <si>
    <t>∂ε/∂α</t>
  </si>
  <si>
    <t>尾翼形式</t>
    <rPh sb="0" eb="2">
      <t>ビヨク</t>
    </rPh>
    <rPh sb="2" eb="4">
      <t>ケイシキ</t>
    </rPh>
    <phoneticPr fontId="1"/>
  </si>
  <si>
    <t>T-Tail</t>
  </si>
  <si>
    <t>Conventional</t>
  </si>
  <si>
    <t>尾翼配置</t>
    <rPh sb="0" eb="2">
      <t>ビヨク</t>
    </rPh>
    <rPh sb="2" eb="4">
      <t>ハイチ</t>
    </rPh>
    <phoneticPr fontId="2"/>
  </si>
  <si>
    <t>全機cg-水平ac間距離</t>
    <rPh sb="0" eb="2">
      <t>ゼンキ</t>
    </rPh>
    <rPh sb="5" eb="7">
      <t>スイヘイ</t>
    </rPh>
    <rPh sb="9" eb="10">
      <t>カン</t>
    </rPh>
    <rPh sb="10" eb="12">
      <t>キョリ</t>
    </rPh>
    <phoneticPr fontId="1"/>
  </si>
  <si>
    <t>lt</t>
  </si>
  <si>
    <t>全機ac-水平ac間距離</t>
    <rPh sb="0" eb="2">
      <t>ゼンキ</t>
    </rPh>
    <rPh sb="5" eb="7">
      <t>スイヘイ</t>
    </rPh>
    <rPh sb="9" eb="10">
      <t>カン</t>
    </rPh>
    <rPh sb="10" eb="12">
      <t>キョリ</t>
    </rPh>
    <phoneticPr fontId="1"/>
  </si>
  <si>
    <t>lt'</t>
  </si>
  <si>
    <t>全機cg－垂直ac間距離</t>
    <rPh sb="0" eb="2">
      <t>ゼンキ</t>
    </rPh>
    <rPh sb="5" eb="7">
      <t>スイチョク</t>
    </rPh>
    <rPh sb="9" eb="10">
      <t>カン</t>
    </rPh>
    <rPh sb="10" eb="12">
      <t>キョリ</t>
    </rPh>
    <phoneticPr fontId="1"/>
  </si>
  <si>
    <t>lf</t>
  </si>
  <si>
    <t>垂直尾翼下端位置</t>
    <rPh sb="0" eb="2">
      <t>スイチョク</t>
    </rPh>
    <rPh sb="2" eb="4">
      <t>ビヨク</t>
    </rPh>
    <rPh sb="4" eb="6">
      <t>カタン</t>
    </rPh>
    <rPh sb="6" eb="8">
      <t>イチ</t>
    </rPh>
    <phoneticPr fontId="1"/>
  </si>
  <si>
    <t>zf</t>
  </si>
  <si>
    <t>垂直尾翼面積重心</t>
    <rPh sb="0" eb="2">
      <t>スイチョク</t>
    </rPh>
    <rPh sb="2" eb="4">
      <t>ビヨク</t>
    </rPh>
    <rPh sb="4" eb="6">
      <t>メンセキ</t>
    </rPh>
    <rPh sb="6" eb="8">
      <t>ジュウシン</t>
    </rPh>
    <phoneticPr fontId="1"/>
  </si>
  <si>
    <t>取り付け角</t>
    <rPh sb="0" eb="1">
      <t>ト</t>
    </rPh>
    <rPh sb="2" eb="3">
      <t>ツ</t>
    </rPh>
    <rPh sb="4" eb="5">
      <t>カク</t>
    </rPh>
    <phoneticPr fontId="1"/>
  </si>
  <si>
    <t>i</t>
  </si>
  <si>
    <t>空気力</t>
    <rPh sb="0" eb="2">
      <t>クウキ</t>
    </rPh>
    <rPh sb="2" eb="3">
      <t>リョク</t>
    </rPh>
    <phoneticPr fontId="2"/>
  </si>
  <si>
    <t>揚力係数</t>
    <rPh sb="0" eb="2">
      <t>ヨウリョク</t>
    </rPh>
    <rPh sb="2" eb="4">
      <t>ケイスウ</t>
    </rPh>
    <phoneticPr fontId="1"/>
  </si>
  <si>
    <t>CL</t>
  </si>
  <si>
    <t>最大揚力係数</t>
    <rPh sb="0" eb="2">
      <t>サイダイ</t>
    </rPh>
    <rPh sb="2" eb="4">
      <t>ヨウリョク</t>
    </rPh>
    <rPh sb="4" eb="6">
      <t>ケイスウ</t>
    </rPh>
    <phoneticPr fontId="1"/>
  </si>
  <si>
    <t>CL_max</t>
  </si>
  <si>
    <t>CL_wing</t>
  </si>
  <si>
    <t>CL_tail</t>
  </si>
  <si>
    <t>CL_fin</t>
  </si>
  <si>
    <t>揚力傾斜</t>
    <rPh sb="0" eb="2">
      <t>ヨウリョク</t>
    </rPh>
    <rPh sb="2" eb="4">
      <t>ケイシャ</t>
    </rPh>
    <phoneticPr fontId="1"/>
  </si>
  <si>
    <t>CL_alpha</t>
  </si>
  <si>
    <t>1/deg</t>
  </si>
  <si>
    <t>aw</t>
  </si>
  <si>
    <t>at</t>
  </si>
  <si>
    <t>af</t>
  </si>
  <si>
    <t>抗力係数</t>
    <rPh sb="0" eb="2">
      <t>コウリョク</t>
    </rPh>
    <rPh sb="2" eb="4">
      <t>ケイスウ</t>
    </rPh>
    <phoneticPr fontId="1"/>
  </si>
  <si>
    <t>CD</t>
  </si>
  <si>
    <t>CD_wing</t>
  </si>
  <si>
    <t>CD_tail</t>
  </si>
  <si>
    <t>CD_fin</t>
  </si>
  <si>
    <t>カウル</t>
  </si>
  <si>
    <t>CD_cowl</t>
  </si>
  <si>
    <t>胴体</t>
    <rPh sb="0" eb="2">
      <t>ドウタイ</t>
    </rPh>
    <phoneticPr fontId="1"/>
  </si>
  <si>
    <t>CD_body</t>
  </si>
  <si>
    <t>干渉抗力</t>
    <rPh sb="0" eb="2">
      <t>カンショウ</t>
    </rPh>
    <rPh sb="2" eb="4">
      <t>コウリョク</t>
    </rPh>
    <phoneticPr fontId="1"/>
  </si>
  <si>
    <t>CD_Interference</t>
  </si>
  <si>
    <t>揚抗比</t>
    <rPh sb="0" eb="3">
      <t>ヨウコウヒ</t>
    </rPh>
    <phoneticPr fontId="1"/>
  </si>
  <si>
    <t>L/D</t>
  </si>
  <si>
    <t>ピッチングモーメント係数</t>
    <rPh sb="10" eb="12">
      <t>ケイスウ</t>
    </rPh>
    <phoneticPr fontId="1"/>
  </si>
  <si>
    <t>Cm</t>
  </si>
  <si>
    <t>揚力</t>
    <rPh sb="0" eb="2">
      <t>ヨウリョク</t>
    </rPh>
    <phoneticPr fontId="1"/>
  </si>
  <si>
    <t>L</t>
  </si>
  <si>
    <t>kgf</t>
  </si>
  <si>
    <t>抗力</t>
    <rPh sb="0" eb="2">
      <t>コウリョク</t>
    </rPh>
    <phoneticPr fontId="1"/>
  </si>
  <si>
    <t>D</t>
  </si>
  <si>
    <t>余剰揚力</t>
    <rPh sb="0" eb="2">
      <t>ヨジョウ</t>
    </rPh>
    <rPh sb="2" eb="4">
      <t>ヨウリョク</t>
    </rPh>
    <phoneticPr fontId="1"/>
  </si>
  <si>
    <t>ΔL</t>
  </si>
  <si>
    <t>慣性モーメント</t>
    <rPh sb="0" eb="2">
      <t>カンセイ</t>
    </rPh>
    <phoneticPr fontId="2"/>
  </si>
  <si>
    <t>慣性モーメント</t>
    <rPh sb="0" eb="2">
      <t>カンセイ</t>
    </rPh>
    <phoneticPr fontId="1"/>
  </si>
  <si>
    <t>Ixx</t>
  </si>
  <si>
    <t>kg・m^2</t>
  </si>
  <si>
    <t>Iyy</t>
  </si>
  <si>
    <t>Izz</t>
  </si>
  <si>
    <t>Ixy</t>
  </si>
  <si>
    <t>Iyz</t>
  </si>
  <si>
    <t>Ixz</t>
  </si>
  <si>
    <t>静安定</t>
    <rPh sb="0" eb="1">
      <t>セイ</t>
    </rPh>
    <rPh sb="1" eb="3">
      <t>アンテイ</t>
    </rPh>
    <phoneticPr fontId="2"/>
  </si>
  <si>
    <t>Cmα</t>
  </si>
  <si>
    <t>Clβ</t>
  </si>
  <si>
    <t>Cnβ</t>
  </si>
  <si>
    <t>動安定</t>
    <rPh sb="0" eb="3">
      <t>ドウアンテイ</t>
    </rPh>
    <phoneticPr fontId="2"/>
  </si>
  <si>
    <t>短周期モード</t>
    <rPh sb="0" eb="3">
      <t>タンシュウキ</t>
    </rPh>
    <phoneticPr fontId="1"/>
  </si>
  <si>
    <t>ωsp</t>
  </si>
  <si>
    <t>rad/s</t>
  </si>
  <si>
    <t>ζsp</t>
  </si>
  <si>
    <t>ωdsp</t>
  </si>
  <si>
    <t>Tsp</t>
  </si>
  <si>
    <t>s</t>
  </si>
  <si>
    <t>フゴイドモード</t>
  </si>
  <si>
    <t>ωp</t>
  </si>
  <si>
    <t>ζp</t>
  </si>
  <si>
    <t>ωdp</t>
  </si>
  <si>
    <t>Tp</t>
  </si>
  <si>
    <t>ダッチロールモード</t>
  </si>
  <si>
    <t>ωnd</t>
  </si>
  <si>
    <t>ζnd</t>
  </si>
  <si>
    <t>T</t>
  </si>
  <si>
    <t>スパイラルモード</t>
  </si>
  <si>
    <t xml:space="preserve">1/Ts </t>
  </si>
  <si>
    <t>応答が2倍になる時間</t>
    <rPh sb="0" eb="2">
      <t>オウトウ</t>
    </rPh>
    <rPh sb="4" eb="5">
      <t>バイ</t>
    </rPh>
    <rPh sb="8" eb="10">
      <t>ジカン</t>
    </rPh>
    <phoneticPr fontId="1"/>
  </si>
  <si>
    <t>ロールモード</t>
  </si>
  <si>
    <t>1/TR</t>
  </si>
  <si>
    <t>QX-25</t>
    <phoneticPr fontId="2"/>
  </si>
  <si>
    <t>鈴嶋悠大</t>
    <rPh sb="0" eb="2">
      <t>スズシマ</t>
    </rPh>
    <rPh sb="2" eb="4">
      <t>ユウダイ</t>
    </rPh>
    <phoneticPr fontId="1"/>
  </si>
  <si>
    <t>影島航一郎</t>
    <rPh sb="0" eb="2">
      <t>カゲシマ</t>
    </rPh>
    <rPh sb="2" eb="3">
      <t>ワタル</t>
    </rPh>
    <rPh sb="3" eb="5">
      <t>イチロウ</t>
    </rPh>
    <phoneticPr fontId="2"/>
  </si>
  <si>
    <t>(全体)芝田一翔/(空力)芝田一翔/(構造)西浦大成</t>
    <rPh sb="1" eb="3">
      <t>ゼンタイ</t>
    </rPh>
    <rPh sb="4" eb="8">
      <t>シバタカズト</t>
    </rPh>
    <rPh sb="10" eb="12">
      <t>クウリキ</t>
    </rPh>
    <rPh sb="13" eb="17">
      <t>シバタカズト</t>
    </rPh>
    <rPh sb="19" eb="21">
      <t>コウゾウ</t>
    </rPh>
    <rPh sb="22" eb="26">
      <t>ニシウラタイセイ</t>
    </rPh>
    <phoneticPr fontId="1"/>
  </si>
  <si>
    <t>(全体)森隼人/(空力)白波瀬莉子/(構造)影島航一郎</t>
    <rPh sb="1" eb="3">
      <t>ゼンタイ</t>
    </rPh>
    <rPh sb="4" eb="7">
      <t>モリハヤト</t>
    </rPh>
    <rPh sb="9" eb="11">
      <t>クウリキ</t>
    </rPh>
    <rPh sb="12" eb="17">
      <t>シラハセリコ</t>
    </rPh>
    <rPh sb="19" eb="21">
      <t>コウゾウ</t>
    </rPh>
    <rPh sb="22" eb="24">
      <t>カゲシマ</t>
    </rPh>
    <rPh sb="24" eb="25">
      <t>ワタル</t>
    </rPh>
    <rPh sb="25" eb="27">
      <t>イチロウ</t>
    </rPh>
    <phoneticPr fontId="2"/>
  </si>
  <si>
    <t>森隼人</t>
    <rPh sb="0" eb="3">
      <t>モリハヤト</t>
    </rPh>
    <phoneticPr fontId="1"/>
  </si>
  <si>
    <t>鈴木佑輔</t>
    <rPh sb="0" eb="2">
      <t>スズキ</t>
    </rPh>
    <rPh sb="2" eb="3">
      <t>ユウ</t>
    </rPh>
    <rPh sb="3" eb="4">
      <t>タスク</t>
    </rPh>
    <phoneticPr fontId="2"/>
  </si>
  <si>
    <t>重心移動（エレベーター搭載）</t>
    <rPh sb="0" eb="2">
      <t>ジュウシン</t>
    </rPh>
    <rPh sb="2" eb="4">
      <t>イドウ</t>
    </rPh>
    <rPh sb="11" eb="13">
      <t>トウサイ</t>
    </rPh>
    <phoneticPr fontId="1"/>
  </si>
  <si>
    <t>重心移動（エレベーター搭載）</t>
    <rPh sb="0" eb="2">
      <t>ジュウシン</t>
    </rPh>
    <rPh sb="2" eb="4">
      <t>イドウ</t>
    </rPh>
    <rPh sb="11" eb="13">
      <t>トウサイ</t>
    </rPh>
    <phoneticPr fontId="2"/>
  </si>
  <si>
    <t>QX-26</t>
    <phoneticPr fontId="2"/>
  </si>
  <si>
    <t>(全体)高橋蓮弥/(空力)高橋蓮弥/(構造)伊藤晴太郎</t>
    <rPh sb="1" eb="3">
      <t>ゼンタイ</t>
    </rPh>
    <rPh sb="4" eb="6">
      <t>タカハシ</t>
    </rPh>
    <rPh sb="6" eb="7">
      <t>ハス</t>
    </rPh>
    <rPh sb="7" eb="8">
      <t>ヤ</t>
    </rPh>
    <rPh sb="10" eb="12">
      <t>クウリキ</t>
    </rPh>
    <rPh sb="13" eb="15">
      <t>タカハシ</t>
    </rPh>
    <rPh sb="15" eb="16">
      <t>ハス</t>
    </rPh>
    <rPh sb="16" eb="17">
      <t>ヤ</t>
    </rPh>
    <rPh sb="19" eb="21">
      <t>コウゾウ</t>
    </rPh>
    <rPh sb="22" eb="24">
      <t>イトウ</t>
    </rPh>
    <rPh sb="24" eb="25">
      <t>ハ</t>
    </rPh>
    <rPh sb="25" eb="27">
      <t>タロウ</t>
    </rPh>
    <phoneticPr fontId="1"/>
  </si>
  <si>
    <t>中村遼太</t>
    <rPh sb="0" eb="2">
      <t>ナカムラ</t>
    </rPh>
    <rPh sb="2" eb="4">
      <t>リョウタ</t>
    </rPh>
    <phoneticPr fontId="2"/>
  </si>
  <si>
    <t>機体重量[kg] vs 翼面荷重[kg/m^2]</t>
    <rPh sb="0" eb="2">
      <t>キタイ</t>
    </rPh>
    <rPh sb="2" eb="4">
      <t>ジュウリョウ</t>
    </rPh>
    <rPh sb="12" eb="13">
      <t>ヨク</t>
    </rPh>
    <rPh sb="13" eb="14">
      <t>メン</t>
    </rPh>
    <rPh sb="14" eb="16">
      <t>カジュウ</t>
    </rPh>
    <phoneticPr fontId="2"/>
  </si>
  <si>
    <t>機速[m/s] vs 翼面荷重[kg/m^2] vs 揚力係数[-]</t>
    <rPh sb="0" eb="2">
      <t>キソク</t>
    </rPh>
    <rPh sb="11" eb="12">
      <t>ヨク</t>
    </rPh>
    <rPh sb="12" eb="13">
      <t>メン</t>
    </rPh>
    <rPh sb="13" eb="15">
      <t>カジュウ</t>
    </rPh>
    <rPh sb="27" eb="29">
      <t>ヨウリョク</t>
    </rPh>
    <rPh sb="29" eb="31">
      <t>ケイスウ</t>
    </rPh>
    <phoneticPr fontId="2"/>
  </si>
  <si>
    <t>スパン[m] vs 翼面積[m^2] vs アスペクト比[-]</t>
    <rPh sb="10" eb="11">
      <t>ヨク</t>
    </rPh>
    <rPh sb="11" eb="13">
      <t>メンセキ</t>
    </rPh>
    <rPh sb="27" eb="28">
      <t>ヒ</t>
    </rPh>
    <phoneticPr fontId="2"/>
  </si>
  <si>
    <t>環境条件</t>
  </si>
  <si>
    <t>名</t>
  </si>
  <si>
    <t>記号</t>
  </si>
  <si>
    <t>値</t>
  </si>
  <si>
    <t>単位</t>
  </si>
  <si>
    <t>M</t>
    <phoneticPr fontId="2"/>
  </si>
  <si>
    <t>W/S</t>
    <phoneticPr fontId="2"/>
  </si>
  <si>
    <t>b</t>
    <phoneticPr fontId="2"/>
  </si>
  <si>
    <t>空気密度</t>
  </si>
  <si>
    <t>ρ</t>
  </si>
  <si>
    <t>kg/m^3</t>
  </si>
  <si>
    <t>重力加速度</t>
  </si>
  <si>
    <t>g</t>
  </si>
  <si>
    <t>m/s^2</t>
  </si>
  <si>
    <t>S</t>
    <phoneticPr fontId="2"/>
  </si>
  <si>
    <t>V</t>
    <phoneticPr fontId="2"/>
  </si>
  <si>
    <t>粘性係数</t>
  </si>
  <si>
    <t>μ</t>
  </si>
  <si>
    <t>N・s/m^2</t>
  </si>
  <si>
    <t>動粘性係数</t>
  </si>
  <si>
    <t>ν</t>
  </si>
  <si>
    <t>m^2/s</t>
  </si>
  <si>
    <t>気温</t>
  </si>
  <si>
    <t>℃</t>
  </si>
  <si>
    <t>K</t>
  </si>
  <si>
    <t>圧力</t>
  </si>
  <si>
    <t>P</t>
  </si>
  <si>
    <t>hPa</t>
  </si>
  <si>
    <t>Pa</t>
  </si>
  <si>
    <t>一般気体定数</t>
  </si>
  <si>
    <t>R</t>
  </si>
  <si>
    <t>J/kg・K</t>
  </si>
  <si>
    <t>比熱比</t>
  </si>
  <si>
    <t>κ</t>
  </si>
  <si>
    <t>音速</t>
  </si>
  <si>
    <t>a</t>
  </si>
  <si>
    <t>カルマン定数</t>
  </si>
  <si>
    <t>k</t>
  </si>
  <si>
    <t>粗度</t>
  </si>
  <si>
    <t>z0</t>
  </si>
  <si>
    <t>舵面の大きさ vs ゼロ揚力角の変化</t>
    <rPh sb="0" eb="1">
      <t>ダ</t>
    </rPh>
    <rPh sb="1" eb="2">
      <t>メン</t>
    </rPh>
    <rPh sb="3" eb="4">
      <t>オオ</t>
    </rPh>
    <rPh sb="12" eb="14">
      <t>ヨウリョク</t>
    </rPh>
    <rPh sb="14" eb="15">
      <t>カク</t>
    </rPh>
    <rPh sb="16" eb="18">
      <t>ヘンカ</t>
    </rPh>
    <phoneticPr fontId="2"/>
  </si>
  <si>
    <t>cf/c</t>
    <phoneticPr fontId="2"/>
  </si>
  <si>
    <t>∂α0/∂δf</t>
    <phoneticPr fontId="2"/>
  </si>
  <si>
    <t>隙間あり</t>
    <rPh sb="0" eb="2">
      <t>スキマ</t>
    </rPh>
    <phoneticPr fontId="2"/>
  </si>
  <si>
    <t>参考文献：Aircraft Desigh: A Conceptual Approach p.598 eq.(16.18)</t>
    <rPh sb="0" eb="2">
      <t>サンコウ</t>
    </rPh>
    <rPh sb="2" eb="4">
      <t>ブンケン</t>
    </rPh>
    <phoneticPr fontId="2"/>
  </si>
  <si>
    <t>安定板と舵面の間に隙間があると15%減</t>
    <rPh sb="0" eb="2">
      <t>アンテイ</t>
    </rPh>
    <rPh sb="2" eb="3">
      <t>イタ</t>
    </rPh>
    <rPh sb="4" eb="5">
      <t>ダ</t>
    </rPh>
    <rPh sb="5" eb="6">
      <t>メン</t>
    </rPh>
    <rPh sb="7" eb="8">
      <t>アイダ</t>
    </rPh>
    <rPh sb="9" eb="11">
      <t>スキマ</t>
    </rPh>
    <rPh sb="18" eb="19">
      <t>ゲン</t>
    </rPh>
    <phoneticPr fontId="2"/>
  </si>
  <si>
    <t>設計コンセプト・概念設計</t>
    <rPh sb="0" eb="2">
      <t>セッケイ</t>
    </rPh>
    <rPh sb="8" eb="12">
      <t>ガイネn</t>
    </rPh>
    <phoneticPr fontId="2"/>
  </si>
  <si>
    <t>主要諸元</t>
    <rPh sb="0" eb="2">
      <t>シュヨウ</t>
    </rPh>
    <rPh sb="2" eb="4">
      <t>ショゲン</t>
    </rPh>
    <phoneticPr fontId="2"/>
  </si>
  <si>
    <t>三面図</t>
    <rPh sb="0" eb="3">
      <t>サンメn</t>
    </rPh>
    <phoneticPr fontId="2"/>
  </si>
  <si>
    <t>※出力前に巡航状態で条件付き解析しておくこと</t>
    <rPh sb="1" eb="4">
      <t>シュツリョクマエ</t>
    </rPh>
    <rPh sb="5" eb="7">
      <t>ジュンコウ</t>
    </rPh>
    <rPh sb="7" eb="9">
      <t>ジョウタイ</t>
    </rPh>
    <rPh sb="10" eb="12">
      <t>ジョウケン</t>
    </rPh>
    <rPh sb="12" eb="13">
      <t>ツ</t>
    </rPh>
    <rPh sb="14" eb="16">
      <t>カイセキ</t>
    </rPh>
    <phoneticPr fontId="2"/>
  </si>
  <si>
    <t>項目</t>
    <rPh sb="0" eb="1">
      <t>コウ</t>
    </rPh>
    <rPh sb="1" eb="2">
      <t>モク</t>
    </rPh>
    <phoneticPr fontId="2"/>
  </si>
  <si>
    <t>記号</t>
    <rPh sb="0" eb="2">
      <t>キゴウ</t>
    </rPh>
    <phoneticPr fontId="2"/>
  </si>
  <si>
    <t>値</t>
    <rPh sb="0" eb="1">
      <t>アタイ</t>
    </rPh>
    <phoneticPr fontId="2"/>
  </si>
  <si>
    <t>単位</t>
    <rPh sb="0" eb="2">
      <t>タンイ</t>
    </rPh>
    <phoneticPr fontId="2"/>
  </si>
  <si>
    <t>機体名</t>
    <rPh sb="0" eb="3">
      <t>キタイメイ</t>
    </rPh>
    <phoneticPr fontId="2"/>
  </si>
  <si>
    <t>巡航速度</t>
    <rPh sb="0" eb="4">
      <t>ジュンコウソクド</t>
    </rPh>
    <phoneticPr fontId="2"/>
  </si>
  <si>
    <t>Vc</t>
    <phoneticPr fontId="2"/>
  </si>
  <si>
    <t>m/s</t>
    <phoneticPr fontId="2"/>
  </si>
  <si>
    <t>チームカラー</t>
    <phoneticPr fontId="2"/>
  </si>
  <si>
    <t>機体重量</t>
    <rPh sb="0" eb="4">
      <t>キタイジュウリョウ</t>
    </rPh>
    <phoneticPr fontId="2"/>
  </si>
  <si>
    <t>Wplane</t>
    <phoneticPr fontId="2"/>
  </si>
  <si>
    <t>kg</t>
    <phoneticPr fontId="2"/>
  </si>
  <si>
    <t>全高（脚含む）</t>
    <rPh sb="0" eb="2">
      <t>ゼンコウ</t>
    </rPh>
    <rPh sb="3" eb="4">
      <t>アシ</t>
    </rPh>
    <rPh sb="4" eb="5">
      <t>フク</t>
    </rPh>
    <phoneticPr fontId="2"/>
  </si>
  <si>
    <t>全備重量</t>
    <rPh sb="0" eb="2">
      <t>ゼンビ</t>
    </rPh>
    <rPh sb="2" eb="4">
      <t>ジュウリョウ</t>
    </rPh>
    <phoneticPr fontId="2"/>
  </si>
  <si>
    <t>全備重量</t>
    <rPh sb="0" eb="2">
      <t>ゼンビ</t>
    </rPh>
    <rPh sb="2" eb="4">
      <t>ジュウリョウ</t>
    </rPh>
    <phoneticPr fontId="1"/>
  </si>
  <si>
    <t>Wgross</t>
    <phoneticPr fontId="2"/>
  </si>
  <si>
    <t>全幅</t>
    <rPh sb="0" eb="2">
      <t>ゼンプク</t>
    </rPh>
    <phoneticPr fontId="2"/>
  </si>
  <si>
    <t>制限荷重倍数</t>
    <rPh sb="0" eb="2">
      <t>セイゲン</t>
    </rPh>
    <rPh sb="2" eb="4">
      <t>カジュウ</t>
    </rPh>
    <rPh sb="4" eb="6">
      <t>バイスウ</t>
    </rPh>
    <phoneticPr fontId="1"/>
  </si>
  <si>
    <t>Nmax</t>
    <phoneticPr fontId="2"/>
  </si>
  <si>
    <t>G</t>
    <phoneticPr fontId="2"/>
  </si>
  <si>
    <t>全長</t>
    <rPh sb="0" eb="2">
      <t>ゼンチョウ</t>
    </rPh>
    <phoneticPr fontId="2"/>
  </si>
  <si>
    <t>主翼面積（変形前）</t>
    <rPh sb="0" eb="4">
      <t>シュヨクメンセキ</t>
    </rPh>
    <rPh sb="5" eb="8">
      <t>ヘンケイマエ</t>
    </rPh>
    <phoneticPr fontId="2"/>
  </si>
  <si>
    <t>m^2</t>
    <phoneticPr fontId="2"/>
  </si>
  <si>
    <t>翼面荷重</t>
    <rPh sb="0" eb="4">
      <t>ヨクメンカジュウ</t>
    </rPh>
    <phoneticPr fontId="2"/>
  </si>
  <si>
    <t>kgf/m^2</t>
    <phoneticPr fontId="2"/>
  </si>
  <si>
    <t>スパン</t>
    <phoneticPr fontId="2"/>
  </si>
  <si>
    <t>アスペクト比</t>
    <rPh sb="5" eb="6">
      <t>ヒ</t>
    </rPh>
    <phoneticPr fontId="2"/>
  </si>
  <si>
    <t>AR</t>
    <phoneticPr fontId="2"/>
  </si>
  <si>
    <t>基本設計（巡航速度以外は計算には不使用）</t>
    <rPh sb="0" eb="4">
      <t>キホンセッケイ</t>
    </rPh>
    <rPh sb="5" eb="7">
      <t>ケイサン</t>
    </rPh>
    <rPh sb="9" eb="11">
      <t>イガイ</t>
    </rPh>
    <rPh sb="12" eb="15">
      <t>フシヨウ</t>
    </rPh>
    <rPh sb="15" eb="16">
      <t>シュヨウショゲン</t>
    </rPh>
    <rPh sb="17" eb="19">
      <t>シヨウ</t>
    </rPh>
    <phoneticPr fontId="2"/>
  </si>
  <si>
    <t>平均空力翼弦長</t>
    <rPh sb="0" eb="7">
      <t>ヘイキンクウリキヨクゲンチョウ</t>
    </rPh>
    <phoneticPr fontId="2"/>
  </si>
  <si>
    <t>c_</t>
    <phoneticPr fontId="2"/>
  </si>
  <si>
    <t>翼根取り付け角</t>
    <rPh sb="0" eb="2">
      <t>ヨクコン</t>
    </rPh>
    <rPh sb="2" eb="3">
      <t>ト</t>
    </rPh>
    <rPh sb="4" eb="5">
      <t>ツ</t>
    </rPh>
    <rPh sb="6" eb="7">
      <t>カク</t>
    </rPh>
    <phoneticPr fontId="2"/>
  </si>
  <si>
    <t>alpha_root</t>
    <phoneticPr fontId="2"/>
  </si>
  <si>
    <t>巡航速度</t>
    <rPh sb="0" eb="4">
      <t>ジュn</t>
    </rPh>
    <phoneticPr fontId="2"/>
  </si>
  <si>
    <t>ねじり下げ</t>
    <rPh sb="3" eb="4">
      <t>サ</t>
    </rPh>
    <phoneticPr fontId="2"/>
  </si>
  <si>
    <t>wash-out</t>
    <phoneticPr fontId="2"/>
  </si>
  <si>
    <t>機体重量</t>
    <rPh sb="0" eb="2">
      <t>キタイ</t>
    </rPh>
    <rPh sb="2" eb="4">
      <t>ゼンビ</t>
    </rPh>
    <phoneticPr fontId="2"/>
  </si>
  <si>
    <t>Wempty</t>
    <phoneticPr fontId="2"/>
  </si>
  <si>
    <t>全機重心位置</t>
    <rPh sb="0" eb="2">
      <t>ゼンキ</t>
    </rPh>
    <rPh sb="2" eb="6">
      <t>ジュウシンイチ</t>
    </rPh>
    <phoneticPr fontId="2"/>
  </si>
  <si>
    <t>hcg</t>
    <phoneticPr fontId="2"/>
  </si>
  <si>
    <t>%MAC</t>
    <phoneticPr fontId="2"/>
  </si>
  <si>
    <t>総パイロット重量</t>
    <rPh sb="0" eb="1">
      <t xml:space="preserve">ソウ </t>
    </rPh>
    <phoneticPr fontId="2"/>
  </si>
  <si>
    <t>Wpilot</t>
    <phoneticPr fontId="2"/>
  </si>
  <si>
    <t>主翼桁位置</t>
    <rPh sb="0" eb="2">
      <t>シュヨク</t>
    </rPh>
    <rPh sb="2" eb="3">
      <t>ケタ</t>
    </rPh>
    <rPh sb="3" eb="5">
      <t>イチ</t>
    </rPh>
    <phoneticPr fontId="2"/>
  </si>
  <si>
    <t>hspar</t>
    <phoneticPr fontId="2"/>
  </si>
  <si>
    <t>全備重量</t>
    <rPh sb="0" eb="4">
      <t>ゼンビ</t>
    </rPh>
    <phoneticPr fontId="2"/>
  </si>
  <si>
    <t>尾翼形式</t>
    <rPh sb="0" eb="2">
      <t>ビヨク</t>
    </rPh>
    <rPh sb="2" eb="4">
      <t>ケイシキ</t>
    </rPh>
    <phoneticPr fontId="2"/>
  </si>
  <si>
    <t>tail-type</t>
    <phoneticPr fontId="2"/>
  </si>
  <si>
    <t>T字配置</t>
  </si>
  <si>
    <t>主翼面積</t>
    <rPh sb="0" eb="4">
      <t>シュヨク</t>
    </rPh>
    <phoneticPr fontId="2"/>
  </si>
  <si>
    <t>主翼桁-尾翼桁距離</t>
    <rPh sb="0" eb="2">
      <t>シュヨク</t>
    </rPh>
    <rPh sb="2" eb="3">
      <t>ケタ</t>
    </rPh>
    <rPh sb="4" eb="6">
      <t>ビヨク</t>
    </rPh>
    <rPh sb="6" eb="7">
      <t>ケタ</t>
    </rPh>
    <rPh sb="7" eb="9">
      <t>キョリ</t>
    </rPh>
    <phoneticPr fontId="2"/>
  </si>
  <si>
    <t>lt</t>
    <phoneticPr fontId="2"/>
  </si>
  <si>
    <t>翼面荷重</t>
    <rPh sb="0" eb="4">
      <t>ヨクメn</t>
    </rPh>
    <phoneticPr fontId="2"/>
  </si>
  <si>
    <t>水平尾翼容積比</t>
    <rPh sb="0" eb="4">
      <t>スイヘイビヨク</t>
    </rPh>
    <rPh sb="4" eb="7">
      <t>ヨウセキヒ</t>
    </rPh>
    <phoneticPr fontId="2"/>
  </si>
  <si>
    <t>Vt</t>
    <phoneticPr fontId="2"/>
  </si>
  <si>
    <t>垂直尾翼容積比</t>
    <rPh sb="0" eb="4">
      <t>スイチョクビヨク</t>
    </rPh>
    <rPh sb="4" eb="7">
      <t>ヨウセキヒ</t>
    </rPh>
    <phoneticPr fontId="2"/>
  </si>
  <si>
    <t>Vf</t>
    <phoneticPr fontId="2"/>
  </si>
  <si>
    <t>全機揚力係数</t>
    <rPh sb="0" eb="1">
      <t>ゼンキ</t>
    </rPh>
    <rPh sb="2" eb="4">
      <t>ヨウリョク</t>
    </rPh>
    <rPh sb="4" eb="6">
      <t>ケイ</t>
    </rPh>
    <phoneticPr fontId="2"/>
  </si>
  <si>
    <t>CL</t>
    <phoneticPr fontId="2"/>
  </si>
  <si>
    <t>操縦方法</t>
    <rPh sb="0" eb="4">
      <t>ソウジュウホウホウ</t>
    </rPh>
    <phoneticPr fontId="2"/>
  </si>
  <si>
    <t>control</t>
    <phoneticPr fontId="2"/>
  </si>
  <si>
    <t>簡易空力計算ツール</t>
    <rPh sb="0" eb="2">
      <t>カンイ</t>
    </rPh>
    <rPh sb="2" eb="4">
      <t>クウリキ</t>
    </rPh>
    <rPh sb="4" eb="6">
      <t>ケイサn</t>
    </rPh>
    <phoneticPr fontId="2"/>
  </si>
  <si>
    <t>機速</t>
    <rPh sb="0" eb="1">
      <t>キ</t>
    </rPh>
    <rPh sb="1" eb="2">
      <t>ソク</t>
    </rPh>
    <phoneticPr fontId="2"/>
  </si>
  <si>
    <t>→</t>
    <phoneticPr fontId="2"/>
  </si>
  <si>
    <t>全機CL</t>
    <rPh sb="0" eb="2">
      <t>ゼンキ</t>
    </rPh>
    <phoneticPr fontId="2"/>
  </si>
  <si>
    <t>有害抗力係数</t>
    <rPh sb="0" eb="6">
      <t>ユウガイコウリョクケイスウ</t>
    </rPh>
    <phoneticPr fontId="2"/>
  </si>
  <si>
    <t>翼効率</t>
    <rPh sb="0" eb="3">
      <t>ヨクコウリツ</t>
    </rPh>
    <phoneticPr fontId="2"/>
  </si>
  <si>
    <t>最大揚抗比CL</t>
    <rPh sb="0" eb="5">
      <t>サイダイヨウコウヒ</t>
    </rPh>
    <phoneticPr fontId="2"/>
  </si>
  <si>
    <t>最小沈下率CL</t>
    <rPh sb="0" eb="2">
      <t>サイショウ</t>
    </rPh>
    <rPh sb="2" eb="4">
      <t>チンカ</t>
    </rPh>
    <rPh sb="4" eb="5">
      <t>リツ</t>
    </rPh>
    <phoneticPr fontId="2"/>
  </si>
  <si>
    <t>CD0</t>
    <phoneticPr fontId="2"/>
  </si>
  <si>
    <t>e</t>
    <phoneticPr fontId="2"/>
  </si>
  <si>
    <t>環境条件</t>
    <rPh sb="0" eb="2">
      <t>カンキョウ</t>
    </rPh>
    <rPh sb="2" eb="4">
      <t>ジョウケン</t>
    </rPh>
    <phoneticPr fontId="2"/>
  </si>
  <si>
    <t>解析条件</t>
    <rPh sb="0" eb="2">
      <t>カイセキ</t>
    </rPh>
    <rPh sb="2" eb="4">
      <t>ジョウケン</t>
    </rPh>
    <phoneticPr fontId="2"/>
  </si>
  <si>
    <t>名</t>
    <rPh sb="0" eb="1">
      <t>メイ</t>
    </rPh>
    <phoneticPr fontId="2"/>
  </si>
  <si>
    <t>備考</t>
    <rPh sb="0" eb="2">
      <t>ビコウ</t>
    </rPh>
    <phoneticPr fontId="2"/>
  </si>
  <si>
    <t>項目</t>
    <rPh sb="0" eb="2">
      <t>コウモク</t>
    </rPh>
    <phoneticPr fontId="2"/>
  </si>
  <si>
    <t>空気密度</t>
    <rPh sb="0" eb="2">
      <t>クウキ</t>
    </rPh>
    <rPh sb="2" eb="4">
      <t>ミツド</t>
    </rPh>
    <phoneticPr fontId="2"/>
  </si>
  <si>
    <t>ρ</t>
    <phoneticPr fontId="2"/>
  </si>
  <si>
    <t>kg/m^3</t>
    <phoneticPr fontId="2"/>
  </si>
  <si>
    <t>https://pigeon-poppo.com/standard-atmosphere/</t>
    <phoneticPr fontId="2"/>
  </si>
  <si>
    <t/>
  </si>
  <si>
    <t>LLT</t>
  </si>
  <si>
    <t>手法</t>
    <rPh sb="0" eb="2">
      <t>シュホウ</t>
    </rPh>
    <phoneticPr fontId="2"/>
  </si>
  <si>
    <t>非線形</t>
    <rPh sb="0" eb="3">
      <t>ヒセn</t>
    </rPh>
    <phoneticPr fontId="2"/>
  </si>
  <si>
    <t>重力加速度</t>
    <rPh sb="0" eb="2">
      <t>ジュウリョク</t>
    </rPh>
    <rPh sb="2" eb="5">
      <t>カソクド</t>
    </rPh>
    <phoneticPr fontId="2"/>
  </si>
  <si>
    <t>g</t>
    <phoneticPr fontId="2"/>
  </si>
  <si>
    <t>m/s^2</t>
    <phoneticPr fontId="2"/>
  </si>
  <si>
    <t>https://unit.aist.go.jp/riem/lgl-apr/requirement/mass/approval/GravityAria_info2.pdf</t>
    <phoneticPr fontId="2"/>
  </si>
  <si>
    <t>上反</t>
    <rPh sb="0" eb="2">
      <t>ジョウハン</t>
    </rPh>
    <phoneticPr fontId="2"/>
  </si>
  <si>
    <t>あり</t>
  </si>
  <si>
    <t>粘性係数</t>
    <rPh sb="0" eb="2">
      <t>ネンセイ</t>
    </rPh>
    <rPh sb="2" eb="4">
      <t>ケイスウ</t>
    </rPh>
    <phoneticPr fontId="2"/>
  </si>
  <si>
    <t>μ</t>
    <phoneticPr fontId="2"/>
  </si>
  <si>
    <t>N・s/m^2</t>
    <phoneticPr fontId="2"/>
  </si>
  <si>
    <t>https://pigeon-poppo.com/standard-atmosphere/</t>
  </si>
  <si>
    <t>たわみ</t>
    <phoneticPr fontId="2"/>
  </si>
  <si>
    <t>動粘性係数</t>
    <rPh sb="0" eb="5">
      <t>ドウネンセイケイスウ</t>
    </rPh>
    <phoneticPr fontId="2"/>
  </si>
  <si>
    <t>ν</t>
    <phoneticPr fontId="2"/>
  </si>
  <si>
    <t>m^2/s</t>
    <phoneticPr fontId="2"/>
  </si>
  <si>
    <t>ねじれ</t>
    <phoneticPr fontId="2"/>
  </si>
  <si>
    <t>気温</t>
    <rPh sb="0" eb="2">
      <t>キオン</t>
    </rPh>
    <phoneticPr fontId="2"/>
  </si>
  <si>
    <t>T</t>
    <phoneticPr fontId="2"/>
  </si>
  <si>
    <t>℃</t>
    <phoneticPr fontId="2"/>
  </si>
  <si>
    <t>TR797</t>
  </si>
  <si>
    <t>翼根曲げモーメントの制限</t>
    <rPh sb="0" eb="2">
      <t>ヨクコン</t>
    </rPh>
    <rPh sb="2" eb="3">
      <t>マ</t>
    </rPh>
    <rPh sb="10" eb="12">
      <t>セイゲン</t>
    </rPh>
    <phoneticPr fontId="2"/>
  </si>
  <si>
    <t>"なし"または0~1の値</t>
    <phoneticPr fontId="2"/>
  </si>
  <si>
    <t>K</t>
    <phoneticPr fontId="2"/>
  </si>
  <si>
    <t>圧力</t>
    <rPh sb="0" eb="2">
      <t>アツリョク</t>
    </rPh>
    <phoneticPr fontId="2"/>
  </si>
  <si>
    <t>P</t>
    <phoneticPr fontId="2"/>
  </si>
  <si>
    <t>hPa</t>
    <phoneticPr fontId="2"/>
  </si>
  <si>
    <t>琵琶湖の標高84mを考慮</t>
    <rPh sb="0" eb="3">
      <t>ビワコ</t>
    </rPh>
    <rPh sb="4" eb="6">
      <t>ヒョウコウ</t>
    </rPh>
    <rPh sb="10" eb="12">
      <t>コウリョ</t>
    </rPh>
    <phoneticPr fontId="2"/>
  </si>
  <si>
    <t>地面効果</t>
    <rPh sb="0" eb="4">
      <t>ジメンコウカ</t>
    </rPh>
    <phoneticPr fontId="2"/>
  </si>
  <si>
    <t>Pa</t>
    <phoneticPr fontId="2"/>
  </si>
  <si>
    <t>一般気体定数</t>
    <rPh sb="0" eb="2">
      <t>イッパン</t>
    </rPh>
    <rPh sb="2" eb="4">
      <t>キタイ</t>
    </rPh>
    <rPh sb="4" eb="6">
      <t>テイスウ</t>
    </rPh>
    <phoneticPr fontId="2"/>
  </si>
  <si>
    <t>R</t>
    <phoneticPr fontId="2"/>
  </si>
  <si>
    <t>J/kg・K</t>
    <phoneticPr fontId="2"/>
  </si>
  <si>
    <t>比熱比</t>
    <rPh sb="0" eb="2">
      <t>ヒネツ</t>
    </rPh>
    <rPh sb="2" eb="3">
      <t>ヒ</t>
    </rPh>
    <phoneticPr fontId="2"/>
  </si>
  <si>
    <t>κ</t>
    <phoneticPr fontId="2"/>
  </si>
  <si>
    <t>音速</t>
    <rPh sb="0" eb="2">
      <t>オンソク</t>
    </rPh>
    <phoneticPr fontId="2"/>
  </si>
  <si>
    <t>a</t>
    <phoneticPr fontId="2"/>
  </si>
  <si>
    <t>カルマン定数</t>
    <rPh sb="4" eb="6">
      <t>テイスウ</t>
    </rPh>
    <phoneticPr fontId="2"/>
  </si>
  <si>
    <t>k</t>
    <phoneticPr fontId="2"/>
  </si>
  <si>
    <t>接地境界層にて風速の対数分布則を適用</t>
    <rPh sb="0" eb="2">
      <t>セッチ</t>
    </rPh>
    <rPh sb="2" eb="4">
      <t>キョウカイ</t>
    </rPh>
    <rPh sb="4" eb="5">
      <t>ソウ</t>
    </rPh>
    <rPh sb="7" eb="9">
      <t>フウソク</t>
    </rPh>
    <rPh sb="10" eb="12">
      <t>タイスウ</t>
    </rPh>
    <rPh sb="12" eb="14">
      <t>ブンプ</t>
    </rPh>
    <rPh sb="14" eb="15">
      <t>ソク</t>
    </rPh>
    <rPh sb="16" eb="18">
      <t>テキヨウ</t>
    </rPh>
    <phoneticPr fontId="2"/>
  </si>
  <si>
    <t>粗度</t>
    <rPh sb="0" eb="1">
      <t>アラ</t>
    </rPh>
    <rPh sb="1" eb="2">
      <t>ド</t>
    </rPh>
    <phoneticPr fontId="2"/>
  </si>
  <si>
    <t>z0</t>
    <phoneticPr fontId="2"/>
  </si>
  <si>
    <t>素材</t>
    <rPh sb="0" eb="2">
      <t>ソザイ</t>
    </rPh>
    <phoneticPr fontId="2"/>
  </si>
  <si>
    <t>接着剤</t>
    <rPh sb="0" eb="3">
      <t>セッチャクザイ</t>
    </rPh>
    <phoneticPr fontId="2"/>
  </si>
  <si>
    <t>名</t>
    <rPh sb="0" eb="1">
      <t>ナ</t>
    </rPh>
    <phoneticPr fontId="2"/>
  </si>
  <si>
    <t>購入先</t>
    <rPh sb="0" eb="3">
      <t>コウニュウサキ</t>
    </rPh>
    <phoneticPr fontId="2"/>
  </si>
  <si>
    <t>密度</t>
    <rPh sb="0" eb="2">
      <t>ミツド</t>
    </rPh>
    <phoneticPr fontId="2"/>
  </si>
  <si>
    <t>引張強度</t>
    <rPh sb="0" eb="2">
      <t>ヒッパリ</t>
    </rPh>
    <rPh sb="2" eb="4">
      <t>キョウド</t>
    </rPh>
    <phoneticPr fontId="2"/>
  </si>
  <si>
    <t>剪断強度</t>
    <rPh sb="0" eb="2">
      <t>センダン</t>
    </rPh>
    <rPh sb="1" eb="2">
      <t>ダン</t>
    </rPh>
    <rPh sb="2" eb="4">
      <t>キョウド</t>
    </rPh>
    <phoneticPr fontId="2"/>
  </si>
  <si>
    <t>CFRP</t>
    <phoneticPr fontId="2"/>
  </si>
  <si>
    <t>下記参照</t>
    <rPh sb="0" eb="2">
      <t>カキ</t>
    </rPh>
    <rPh sb="2" eb="4">
      <t>サンショウ</t>
    </rPh>
    <phoneticPr fontId="2"/>
  </si>
  <si>
    <t>50倍発泡</t>
    <rPh sb="2" eb="3">
      <t>バイ</t>
    </rPh>
    <rPh sb="3" eb="5">
      <t>ハッポウ</t>
    </rPh>
    <phoneticPr fontId="2"/>
  </si>
  <si>
    <t>30分エポ</t>
    <phoneticPr fontId="2"/>
  </si>
  <si>
    <t>30倍発泡</t>
    <rPh sb="2" eb="3">
      <t>バイ</t>
    </rPh>
    <rPh sb="3" eb="5">
      <t>ハッポウ</t>
    </rPh>
    <phoneticPr fontId="2"/>
  </si>
  <si>
    <t>5分エポ</t>
    <phoneticPr fontId="2"/>
  </si>
  <si>
    <t>ウレタンフォーム</t>
    <phoneticPr fontId="2"/>
  </si>
  <si>
    <t>スチのり（発泡ボンド）</t>
    <phoneticPr fontId="2"/>
  </si>
  <si>
    <t>スタイロフォーム</t>
    <phoneticPr fontId="2"/>
  </si>
  <si>
    <t>バブルス</t>
    <phoneticPr fontId="2"/>
  </si>
  <si>
    <t>ヒノキ</t>
    <phoneticPr fontId="2"/>
  </si>
  <si>
    <t>高剪断エポキシ</t>
    <rPh sb="0" eb="3">
      <t xml:space="preserve">コウセンダン </t>
    </rPh>
    <phoneticPr fontId="2"/>
  </si>
  <si>
    <t>バルサ</t>
    <phoneticPr fontId="2"/>
  </si>
  <si>
    <t>アルミ</t>
    <phoneticPr fontId="2"/>
  </si>
  <si>
    <t>ジュラルミン</t>
    <phoneticPr fontId="2"/>
  </si>
  <si>
    <t>スタイロ10mm</t>
    <phoneticPr fontId="2"/>
  </si>
  <si>
    <t>kg/m^2</t>
    <phoneticPr fontId="2"/>
  </si>
  <si>
    <t>表面が溶けるため体積密度と異なる</t>
    <rPh sb="0" eb="2">
      <t>ヒョウメン</t>
    </rPh>
    <rPh sb="3" eb="4">
      <t>ト</t>
    </rPh>
    <rPh sb="8" eb="10">
      <t>タイセキ</t>
    </rPh>
    <rPh sb="10" eb="12">
      <t>ミツド</t>
    </rPh>
    <rPh sb="13" eb="14">
      <t>コト</t>
    </rPh>
    <phoneticPr fontId="2"/>
  </si>
  <si>
    <t>ソプラ</t>
    <phoneticPr fontId="2"/>
  </si>
  <si>
    <t>トーラミ</t>
    <phoneticPr fontId="2"/>
  </si>
  <si>
    <t>エスレン2mm</t>
    <phoneticPr fontId="2"/>
  </si>
  <si>
    <t>プリプレグ</t>
    <phoneticPr fontId="2"/>
  </si>
  <si>
    <t>繊維方向・引張</t>
    <phoneticPr fontId="2"/>
  </si>
  <si>
    <t>直交方向・引張</t>
    <rPh sb="0" eb="2">
      <t>チョッコウ</t>
    </rPh>
    <phoneticPr fontId="2"/>
  </si>
  <si>
    <t>繊維方向・圧縮</t>
    <rPh sb="5" eb="7">
      <t>アッシュク</t>
    </rPh>
    <phoneticPr fontId="2"/>
  </si>
  <si>
    <t>直交方向・圧縮</t>
    <rPh sb="0" eb="2">
      <t>チョッコウ</t>
    </rPh>
    <rPh sb="5" eb="7">
      <t>アッシュク</t>
    </rPh>
    <phoneticPr fontId="2"/>
  </si>
  <si>
    <t>せん断</t>
    <rPh sb="2" eb="3">
      <t>ダン</t>
    </rPh>
    <phoneticPr fontId="2"/>
  </si>
  <si>
    <t>層間せん断</t>
    <rPh sb="0" eb="2">
      <t>ソウカン</t>
    </rPh>
    <rPh sb="4" eb="5">
      <t>ダン</t>
    </rPh>
    <phoneticPr fontId="2"/>
  </si>
  <si>
    <t>品番</t>
    <rPh sb="0" eb="2">
      <t>ヒンバン</t>
    </rPh>
    <phoneticPr fontId="2"/>
  </si>
  <si>
    <t>Carbon</t>
    <phoneticPr fontId="2"/>
  </si>
  <si>
    <t>Resin</t>
    <phoneticPr fontId="2"/>
  </si>
  <si>
    <t>Curing Condition</t>
    <phoneticPr fontId="2"/>
  </si>
  <si>
    <t>FAW</t>
    <phoneticPr fontId="2"/>
  </si>
  <si>
    <t>Resin Content</t>
    <phoneticPr fontId="2"/>
  </si>
  <si>
    <t>強度</t>
    <rPh sb="0" eb="2">
      <t>キョウド</t>
    </rPh>
    <phoneticPr fontId="2"/>
  </si>
  <si>
    <t>ヤング率</t>
    <rPh sb="3" eb="4">
      <t>リツ</t>
    </rPh>
    <phoneticPr fontId="2"/>
  </si>
  <si>
    <t>ポアソン比</t>
    <rPh sb="4" eb="5">
      <t>ヒ</t>
    </rPh>
    <phoneticPr fontId="2"/>
  </si>
  <si>
    <t>厚さ</t>
    <rPh sb="0" eb="1">
      <t>アツ</t>
    </rPh>
    <phoneticPr fontId="2"/>
  </si>
  <si>
    <t>FLt</t>
    <phoneticPr fontId="2"/>
  </si>
  <si>
    <t>ELt</t>
    <phoneticPr fontId="2"/>
  </si>
  <si>
    <t>νLt</t>
    <phoneticPr fontId="2"/>
  </si>
  <si>
    <t>FTt</t>
    <phoneticPr fontId="2"/>
  </si>
  <si>
    <t>ETt</t>
    <phoneticPr fontId="2"/>
  </si>
  <si>
    <t>νTt</t>
    <phoneticPr fontId="2"/>
  </si>
  <si>
    <t>FLc</t>
    <phoneticPr fontId="2"/>
  </si>
  <si>
    <t>ELc</t>
    <phoneticPr fontId="2"/>
  </si>
  <si>
    <t>νLc</t>
    <phoneticPr fontId="2"/>
  </si>
  <si>
    <t>FTc</t>
    <phoneticPr fontId="2"/>
  </si>
  <si>
    <t>ETc</t>
    <phoneticPr fontId="2"/>
  </si>
  <si>
    <t>νTc</t>
    <phoneticPr fontId="2"/>
  </si>
  <si>
    <t>FLT</t>
    <phoneticPr fontId="2"/>
  </si>
  <si>
    <t>GLT</t>
    <phoneticPr fontId="2"/>
  </si>
  <si>
    <t>F1</t>
    <phoneticPr fontId="2"/>
  </si>
  <si>
    <t>t</t>
    <phoneticPr fontId="2"/>
  </si>
  <si>
    <t>g/m^2</t>
    <phoneticPr fontId="2"/>
  </si>
  <si>
    <t>%</t>
    <phoneticPr fontId="2"/>
  </si>
  <si>
    <t>GPa</t>
    <phoneticPr fontId="2"/>
  </si>
  <si>
    <t>mm/ply</t>
    <phoneticPr fontId="2"/>
  </si>
  <si>
    <t>MR380G150S</t>
    <phoneticPr fontId="2"/>
  </si>
  <si>
    <t>三菱ケミカル：https://www.m-chemical.co.jp/products/field/carbon/index.html
株式会社カナエ：https://www.kanae-kbs.co.jp/chemical/</t>
    <rPh sb="0" eb="2">
      <t>ミツビシ</t>
    </rPh>
    <rPh sb="69" eb="73">
      <t>カブシキガイシャ</t>
    </rPh>
    <phoneticPr fontId="2"/>
  </si>
  <si>
    <t>MR60H</t>
    <phoneticPr fontId="2"/>
  </si>
  <si>
    <t>#350</t>
    <phoneticPr fontId="2"/>
  </si>
  <si>
    <t xml:space="preserve">Autoclave Curing for 60 minutes at 80℃ and 90 minutes at 130℃ </t>
  </si>
  <si>
    <t>HRX350G125S</t>
    <phoneticPr fontId="2"/>
  </si>
  <si>
    <t>三菱レーヨン：https://www.m-chemical.co.jp/carbon-fiber/product/prepreg/
スリーホープ：http://www4.tokai.or.jp/three-hope/</t>
    <rPh sb="0" eb="2">
      <t>ミツビシ</t>
    </rPh>
    <phoneticPr fontId="2"/>
  </si>
  <si>
    <t>M40J相当</t>
    <rPh sb="4" eb="6">
      <t>ソウトウ</t>
    </rPh>
    <phoneticPr fontId="2"/>
  </si>
  <si>
    <t xml:space="preserve">QX-26 </t>
    <phoneticPr fontId="2"/>
  </si>
  <si>
    <t>えんじ色</t>
    <rPh sb="3" eb="4">
      <t>イロ</t>
    </rPh>
    <phoneticPr fontId="2"/>
  </si>
  <si>
    <t>https://x.com/gradon_TBT/status/1834074358970810580</t>
    <phoneticPr fontId="2"/>
  </si>
  <si>
    <t>type3</t>
    <phoneticPr fontId="2"/>
  </si>
  <si>
    <t>Re*Cl</t>
    <phoneticPr fontId="2"/>
  </si>
  <si>
    <t xml:space="preserve">type1 </t>
    <phoneticPr fontId="2"/>
  </si>
  <si>
    <t>Re</t>
    <phoneticPr fontId="2"/>
  </si>
  <si>
    <t>Re*squrt(Cl)</t>
    <phoneticPr fontId="2"/>
  </si>
  <si>
    <t>コード長に対するRe*squrt(Cl)</t>
    <rPh sb="3" eb="4">
      <t>チョウ</t>
    </rPh>
    <rPh sb="5" eb="6">
      <t>タイ</t>
    </rPh>
    <phoneticPr fontId="2"/>
  </si>
  <si>
    <t>必要諸元</t>
    <rPh sb="0" eb="4">
      <t>ヒツヨウショゲン</t>
    </rPh>
    <phoneticPr fontId="2"/>
  </si>
  <si>
    <t>type2</t>
    <phoneticPr fontId="2"/>
  </si>
  <si>
    <t>v[m/s]</t>
    <phoneticPr fontId="2"/>
  </si>
  <si>
    <t>c[m]</t>
    <phoneticPr fontId="2"/>
  </si>
  <si>
    <t>y[m]</t>
    <phoneticPr fontId="2"/>
  </si>
  <si>
    <t>速度とコード長を変化させたときのレイノルズ数</t>
    <rPh sb="0" eb="2">
      <t>ソクド</t>
    </rPh>
    <rPh sb="6" eb="7">
      <t>チョウ</t>
    </rPh>
    <rPh sb="8" eb="10">
      <t>ヘンカ</t>
    </rPh>
    <rPh sb="21" eb="22">
      <t>スウ</t>
    </rPh>
    <phoneticPr fontId="2"/>
  </si>
  <si>
    <t>速度と位置によるRe＊Cl</t>
    <rPh sb="0" eb="2">
      <t>ソクド</t>
    </rPh>
    <rPh sb="3" eb="5">
      <t>イチ</t>
    </rPh>
    <phoneticPr fontId="2"/>
  </si>
  <si>
    <t>翼根コード長（仮）[m]</t>
    <rPh sb="0" eb="1">
      <t>ヨク</t>
    </rPh>
    <rPh sb="1" eb="2">
      <t>コン</t>
    </rPh>
    <rPh sb="5" eb="6">
      <t>チョウ</t>
    </rPh>
    <rPh sb="7" eb="8">
      <t>カリ</t>
    </rPh>
    <phoneticPr fontId="2"/>
  </si>
  <si>
    <t>真ん中らへんのコード長（仮）[m]</t>
    <rPh sb="0" eb="1">
      <t>マ</t>
    </rPh>
    <rPh sb="2" eb="3">
      <t>ナカ</t>
    </rPh>
    <rPh sb="10" eb="11">
      <t>チョウ</t>
    </rPh>
    <rPh sb="12" eb="13">
      <t>カリ</t>
    </rPh>
    <phoneticPr fontId="2"/>
  </si>
  <si>
    <t>翼端コード長（仮）[m]</t>
    <rPh sb="0" eb="2">
      <t>ヨクタン</t>
    </rPh>
    <rPh sb="5" eb="6">
      <t>チョウ</t>
    </rPh>
    <rPh sb="7" eb="8">
      <t>カリ</t>
    </rPh>
    <phoneticPr fontId="2"/>
  </si>
  <si>
    <t>スパン位置[m]</t>
    <rPh sb="3" eb="5">
      <t>イチ</t>
    </rPh>
    <phoneticPr fontId="2"/>
  </si>
  <si>
    <t>楕円循環分布での速度とコード長による必要Cl</t>
    <rPh sb="0" eb="6">
      <t>ダエンジュンカンブンプ</t>
    </rPh>
    <rPh sb="8" eb="10">
      <t>ソクド</t>
    </rPh>
    <rPh sb="14" eb="15">
      <t>チョウ</t>
    </rPh>
    <rPh sb="18" eb="20">
      <t>ヒツヨウ</t>
    </rPh>
    <phoneticPr fontId="2"/>
  </si>
  <si>
    <t>このシートはxflr5のタイプ別解析などをするときに参考にできる値を書いている。</t>
    <rPh sb="15" eb="18">
      <t>ベツカイセキ</t>
    </rPh>
    <rPh sb="26" eb="28">
      <t>サンコウ</t>
    </rPh>
    <rPh sb="32" eb="33">
      <t>アタイ</t>
    </rPh>
    <rPh sb="34" eb="35">
      <t>カ</t>
    </rPh>
    <phoneticPr fontId="2"/>
  </si>
  <si>
    <t>ハイブリッド</t>
  </si>
  <si>
    <t>DisplayName</t>
  </si>
  <si>
    <t>FullPath</t>
  </si>
  <si>
    <t>QX0026 v10.dat</t>
  </si>
  <si>
    <t>C:\Users\renya\OneDrive\デスクトップ\鳥人間\QX26設計\設計シート\QX26\Airfoil\QX0026 v10.dat</t>
  </si>
  <si>
    <t>QX0026 v14.dat</t>
  </si>
  <si>
    <t>C:\Users\renya\OneDrive\デスクトップ\鳥人間\QX26設計\設計シート\QX26\Airfoil\QX0026 v14.dat</t>
  </si>
  <si>
    <t>QX0026 v16.dat</t>
  </si>
  <si>
    <t>C:\Users\renya\OneDrive\デスクトップ\鳥人間\QX26設計\設計シート\QX26\Airfoil\QX0026 v16.dat</t>
  </si>
  <si>
    <t>x</t>
    <phoneticPr fontId="2"/>
  </si>
  <si>
    <t>y</t>
    <phoneticPr fontId="2"/>
  </si>
  <si>
    <t>QX0024.dat</t>
  </si>
  <si>
    <t>C:\Users\renya\OneDrive\デスクトップ\鳥人間\QX26設計\設計シート\QX26\Airfoil\QX0024.dat</t>
  </si>
  <si>
    <t>QX0025v12.dat</t>
  </si>
  <si>
    <t>C:\Users\renya\OneDrive\デスクトップ\鳥人間\QX26設計\設計シート\QX26\Airfoil\QX0025v12.dat</t>
  </si>
  <si>
    <t>翼型確認</t>
    <rPh sb="0" eb="2">
      <t>ヨクガタ</t>
    </rPh>
    <rPh sb="2" eb="4">
      <t>カクニン</t>
    </rPh>
    <phoneticPr fontId="2"/>
  </si>
  <si>
    <t>QX0026 v26.dat</t>
  </si>
  <si>
    <t>C:\Users\renya\OneDrive\デスクトップ\鳥人間\QX26設計\設計シート\QX26\Airfoil\QX0026 v26.dat</t>
  </si>
  <si>
    <t>QX0026 v28.dat</t>
  </si>
  <si>
    <t>C:\Users\renya\OneDrive\デスクトップ\鳥人間\QX26設計\設計シート\QX26\Airfoil\QX0026 v28.dat</t>
  </si>
  <si>
    <t>QX0126 v1.dat</t>
  </si>
  <si>
    <t>C:\Users\renya\OneDrive\デスクトップ\鳥人間\QX26設計\設計シート\QX26\Airfoil\QX0126 v1.dat</t>
  </si>
  <si>
    <t>QX0026 v29.dat</t>
  </si>
  <si>
    <t>C:\Users\renya\OneDrive\デスクトップ\鳥人間\QX26設計\設計シート\QX26\Airfoil\QX0026 v29.dat</t>
  </si>
  <si>
    <t>QX0026 v31.dat</t>
  </si>
  <si>
    <t>C:\Users\renya\OneDrive\デスクトップ\鳥人間\QX26設計\設計シート\QX26\Airfoil\QX0026 v31.dat</t>
  </si>
  <si>
    <t>QX0026 v32.dat</t>
  </si>
  <si>
    <t>C:\Users\renya\OneDrive\デスクトップ\鳥人間\QX26設計\設計シート\QX26\Airfoil\QX0026 v32.dat</t>
  </si>
  <si>
    <t>Ncrit</t>
    <phoneticPr fontId="2"/>
  </si>
  <si>
    <t>速度</t>
    <rPh sb="0" eb="2">
      <t>ソクド</t>
    </rPh>
    <phoneticPr fontId="2"/>
  </si>
  <si>
    <t>速度変動</t>
    <rPh sb="0" eb="2">
      <t>ソクド</t>
    </rPh>
    <rPh sb="2" eb="4">
      <t>ヘンドウ</t>
    </rPh>
    <phoneticPr fontId="2"/>
  </si>
  <si>
    <t>Tu</t>
    <phoneticPr fontId="2"/>
  </si>
  <si>
    <t>どのくらい伸びるか</t>
    <rPh sb="5" eb="6">
      <t>ノ</t>
    </rPh>
    <phoneticPr fontId="2"/>
  </si>
  <si>
    <t>解析範囲</t>
    <rPh sb="0" eb="2">
      <t>カイセキ</t>
    </rPh>
    <rPh sb="2" eb="4">
      <t>ハンイ</t>
    </rPh>
    <phoneticPr fontId="2"/>
  </si>
  <si>
    <t>最小</t>
    <rPh sb="0" eb="2">
      <t>サイショウ</t>
    </rPh>
    <phoneticPr fontId="2"/>
  </si>
  <si>
    <t>最大</t>
    <rPh sb="0" eb="2">
      <t>サイダイ</t>
    </rPh>
    <phoneticPr fontId="2"/>
  </si>
  <si>
    <t>Δ</t>
    <phoneticPr fontId="2"/>
  </si>
  <si>
    <t>α</t>
    <phoneticPr fontId="2"/>
  </si>
  <si>
    <t>Cl</t>
    <phoneticPr fontId="2"/>
  </si>
  <si>
    <t>Cm</t>
    <phoneticPr fontId="2"/>
  </si>
  <si>
    <t>α^2</t>
    <phoneticPr fontId="2"/>
  </si>
  <si>
    <t>翼型1</t>
    <rPh sb="0" eb="1">
      <t>ヨク</t>
    </rPh>
    <rPh sb="1" eb="2">
      <t>ガタ</t>
    </rPh>
    <phoneticPr fontId="2"/>
  </si>
  <si>
    <t>全周</t>
    <rPh sb="0" eb="2">
      <t>ゼンシュウ</t>
    </rPh>
    <phoneticPr fontId="2"/>
  </si>
  <si>
    <t>プランク長</t>
    <rPh sb="4" eb="5">
      <t>チョウ</t>
    </rPh>
    <phoneticPr fontId="2"/>
  </si>
  <si>
    <t>リブ材長</t>
    <rPh sb="2" eb="3">
      <t>ザイ</t>
    </rPh>
    <rPh sb="3" eb="4">
      <t>チョウ</t>
    </rPh>
    <phoneticPr fontId="2"/>
  </si>
  <si>
    <t>リブ面積</t>
    <rPh sb="2" eb="4">
      <t>メンセキ</t>
    </rPh>
    <phoneticPr fontId="2"/>
  </si>
  <si>
    <t>翼厚</t>
    <rPh sb="0" eb="2">
      <t>ヨクアツ</t>
    </rPh>
    <phoneticPr fontId="2"/>
  </si>
  <si>
    <t>プランク</t>
    <phoneticPr fontId="2"/>
  </si>
  <si>
    <t>上面</t>
    <rPh sb="0" eb="2">
      <t>ジョウメン</t>
    </rPh>
    <phoneticPr fontId="2"/>
  </si>
  <si>
    <t>下面</t>
    <rPh sb="0" eb="2">
      <t>カメン</t>
    </rPh>
    <phoneticPr fontId="2"/>
  </si>
  <si>
    <t>桁位置</t>
    <rPh sb="0" eb="1">
      <t>ケタ</t>
    </rPh>
    <rPh sb="1" eb="3">
      <t>イチ</t>
    </rPh>
    <phoneticPr fontId="2"/>
  </si>
  <si>
    <t>翼型名</t>
    <rPh sb="0" eb="3">
      <t>ヨクガタメイ</t>
    </rPh>
    <phoneticPr fontId="2"/>
  </si>
  <si>
    <t xml:space="preserve">Ncrit </t>
    <phoneticPr fontId="2"/>
  </si>
  <si>
    <t>回帰完了</t>
    <phoneticPr fontId="2"/>
  </si>
  <si>
    <t>term</t>
    <phoneticPr fontId="2"/>
  </si>
  <si>
    <t>α^1</t>
    <phoneticPr fontId="2"/>
  </si>
  <si>
    <t>α^3</t>
    <phoneticPr fontId="2"/>
  </si>
  <si>
    <t>α^4</t>
    <phoneticPr fontId="2"/>
  </si>
  <si>
    <t>α^5</t>
    <phoneticPr fontId="2"/>
  </si>
  <si>
    <t>α^6</t>
    <phoneticPr fontId="2"/>
  </si>
  <si>
    <t>α^7</t>
    <phoneticPr fontId="2"/>
  </si>
  <si>
    <t>α^8</t>
    <phoneticPr fontId="2"/>
  </si>
  <si>
    <t>α^9</t>
    <phoneticPr fontId="2"/>
  </si>
  <si>
    <t>α^10</t>
    <phoneticPr fontId="2"/>
  </si>
  <si>
    <t>log(Re)^1</t>
    <phoneticPr fontId="2"/>
  </si>
  <si>
    <t>log(Re)^2</t>
    <phoneticPr fontId="2"/>
  </si>
  <si>
    <t>log(Re)^3</t>
    <phoneticPr fontId="2"/>
  </si>
  <si>
    <t>α·log(Re)</t>
    <phoneticPr fontId="2"/>
  </si>
  <si>
    <t>α^2·log(Re)</t>
    <phoneticPr fontId="2"/>
  </si>
  <si>
    <t>Cd</t>
    <phoneticPr fontId="2"/>
  </si>
  <si>
    <t>生データ比較Re</t>
    <rPh sb="0" eb="1">
      <t>ナマ</t>
    </rPh>
    <rPh sb="4" eb="6">
      <t>ヒカク</t>
    </rPh>
    <phoneticPr fontId="2"/>
  </si>
  <si>
    <t>m</t>
    <phoneticPr fontId="1"/>
  </si>
  <si>
    <t>プランク</t>
    <phoneticPr fontId="1"/>
  </si>
  <si>
    <t>-</t>
    <phoneticPr fontId="1"/>
  </si>
  <si>
    <t>主翼コンセプト</t>
    <rPh sb="0" eb="2">
      <t>シュヨク</t>
    </rPh>
    <phoneticPr fontId="2"/>
  </si>
  <si>
    <t>平面形</t>
  </si>
  <si>
    <r>
      <rPr>
        <b/>
        <sz val="12"/>
        <color theme="1"/>
        <rFont val="游ゴシック"/>
        <family val="3"/>
        <charset val="128"/>
        <scheme val="minor"/>
      </rPr>
      <t>ストリンガー</t>
    </r>
    <r>
      <rPr>
        <sz val="11"/>
        <color theme="1"/>
        <rFont val="游ゴシック"/>
        <family val="2"/>
        <charset val="128"/>
        <scheme val="minor"/>
      </rPr>
      <t>↓コード長%（上面が負、下面が正）</t>
    </r>
    <phoneticPr fontId="2"/>
  </si>
  <si>
    <t>材厚さ</t>
    <rPh sb="0" eb="1">
      <t>ザイ</t>
    </rPh>
    <rPh sb="1" eb="2">
      <t>アツ</t>
    </rPh>
    <phoneticPr fontId="2"/>
  </si>
  <si>
    <t>後縁円弧</t>
    <rPh sb="0" eb="2">
      <t>コウエン</t>
    </rPh>
    <rPh sb="2" eb="4">
      <t>エンコ</t>
    </rPh>
    <phoneticPr fontId="2"/>
  </si>
  <si>
    <r>
      <rPr>
        <b/>
        <sz val="12"/>
        <color theme="1"/>
        <rFont val="游ゴシック"/>
        <family val="3"/>
        <charset val="128"/>
        <scheme val="minor"/>
      </rPr>
      <t>リブ付け線位置</t>
    </r>
    <r>
      <rPr>
        <sz val="11"/>
        <color theme="1"/>
        <rFont val="游ゴシック"/>
        <family val="2"/>
        <charset val="128"/>
        <scheme val="minor"/>
      </rPr>
      <t>↓[mm]（桁中心基準で前縁側マイナス）</t>
    </r>
    <rPh sb="0" eb="1">
      <t>ヨウ</t>
    </rPh>
    <rPh sb="1" eb="2">
      <t>セン</t>
    </rPh>
    <rPh sb="2" eb="4">
      <t>イチ</t>
    </rPh>
    <rPh sb="9" eb="14">
      <t>ケタチュウシンキジュン</t>
    </rPh>
    <rPh sb="15" eb="18">
      <t>ゼンエンガワ</t>
    </rPh>
    <phoneticPr fontId="2"/>
  </si>
  <si>
    <t>y位置</t>
  </si>
  <si>
    <t>コード長</t>
  </si>
  <si>
    <t>取り付け角</t>
  </si>
  <si>
    <t>上反角</t>
  </si>
  <si>
    <t>桁中心</t>
  </si>
  <si>
    <t>翼型名</t>
  </si>
  <si>
    <t>重量推算</t>
    <rPh sb="0" eb="2">
      <t>ジュウリョウ</t>
    </rPh>
    <rPh sb="2" eb="4">
      <t>スイサン</t>
    </rPh>
    <phoneticPr fontId="2"/>
  </si>
  <si>
    <t>番号</t>
    <rPh sb="0" eb="2">
      <t>バンゴウ</t>
    </rPh>
    <phoneticPr fontId="2"/>
  </si>
  <si>
    <t>位置</t>
    <rPh sb="0" eb="2">
      <t xml:space="preserve">イチ </t>
    </rPh>
    <phoneticPr fontId="2"/>
  </si>
  <si>
    <t>幅</t>
    <rPh sb="0" eb="1">
      <t>ハバ</t>
    </rPh>
    <phoneticPr fontId="2"/>
  </si>
  <si>
    <t>深さ</t>
    <rPh sb="0" eb="1">
      <t xml:space="preserve">フカサ </t>
    </rPh>
    <phoneticPr fontId="2"/>
  </si>
  <si>
    <t>0番</t>
    <rPh sb="1" eb="2">
      <t>バン</t>
    </rPh>
    <phoneticPr fontId="2"/>
  </si>
  <si>
    <t>1番</t>
    <rPh sb="1" eb="2">
      <t>バン</t>
    </rPh>
    <phoneticPr fontId="2"/>
  </si>
  <si>
    <t>2番</t>
    <rPh sb="1" eb="2">
      <t>バン</t>
    </rPh>
    <phoneticPr fontId="2"/>
  </si>
  <si>
    <t>3番</t>
    <rPh sb="1" eb="2">
      <t>バン</t>
    </rPh>
    <phoneticPr fontId="2"/>
  </si>
  <si>
    <t xml:space="preserve">y </t>
    <phoneticPr fontId="2"/>
  </si>
  <si>
    <t>c</t>
    <phoneticPr fontId="2"/>
  </si>
  <si>
    <t>αs</t>
    <phoneticPr fontId="2"/>
  </si>
  <si>
    <t>Γd</t>
    <phoneticPr fontId="2"/>
  </si>
  <si>
    <t>リブ</t>
    <phoneticPr fontId="1"/>
  </si>
  <si>
    <t>mm</t>
    <phoneticPr fontId="1"/>
  </si>
  <si>
    <t>バルサチップ長さ</t>
    <rPh sb="6" eb="7">
      <t>ナガ</t>
    </rPh>
    <phoneticPr fontId="2"/>
  </si>
  <si>
    <t>前縁側</t>
    <rPh sb="0" eb="3">
      <t>ゼンエンガワ</t>
    </rPh>
    <phoneticPr fontId="2"/>
  </si>
  <si>
    <t>mm</t>
    <phoneticPr fontId="2"/>
  </si>
  <si>
    <t>リブ材</t>
    <rPh sb="2" eb="3">
      <t>ザイ</t>
    </rPh>
    <phoneticPr fontId="1"/>
  </si>
  <si>
    <t>カーボンチップ長さ</t>
    <rPh sb="7" eb="8">
      <t>ナガ</t>
    </rPh>
    <phoneticPr fontId="2"/>
  </si>
  <si>
    <t>後縁側</t>
    <rPh sb="0" eb="3">
      <t>コウエンガワ</t>
    </rPh>
    <phoneticPr fontId="2"/>
  </si>
  <si>
    <t>0番中央</t>
  </si>
  <si>
    <t>後縁材</t>
    <rPh sb="0" eb="3">
      <t>コウエンザイ</t>
    </rPh>
    <phoneticPr fontId="1"/>
  </si>
  <si>
    <t>後縁材長さ</t>
    <rPh sb="0" eb="3">
      <t>コウエンザイ</t>
    </rPh>
    <rPh sb="3" eb="4">
      <t>ナガ</t>
    </rPh>
    <phoneticPr fontId="2"/>
  </si>
  <si>
    <t>チャンネル材位置</t>
    <rPh sb="5" eb="6">
      <t>ザイ</t>
    </rPh>
    <rPh sb="6" eb="8">
      <t>イチ</t>
    </rPh>
    <phoneticPr fontId="2"/>
  </si>
  <si>
    <t>テーパー点1</t>
    <phoneticPr fontId="2"/>
  </si>
  <si>
    <t>テーパー点2</t>
    <phoneticPr fontId="2"/>
  </si>
  <si>
    <t>テーパー点3</t>
    <phoneticPr fontId="2"/>
  </si>
  <si>
    <r>
      <rPr>
        <b/>
        <sz val="12"/>
        <color theme="1"/>
        <rFont val="游ゴシック"/>
        <family val="3"/>
        <charset val="128"/>
        <scheme val="minor"/>
      </rPr>
      <t>開始-終了位置</t>
    </r>
    <r>
      <rPr>
        <sz val="11"/>
        <color theme="1"/>
        <rFont val="游ゴシック"/>
        <family val="2"/>
        <charset val="128"/>
        <scheme val="minor"/>
      </rPr>
      <t>↓コード長%（上面が負、下面が正））</t>
    </r>
    <rPh sb="0" eb="2">
      <t>カイシ</t>
    </rPh>
    <rPh sb="3" eb="5">
      <t>シュウリョウ</t>
    </rPh>
    <rPh sb="5" eb="7">
      <t>イチ</t>
    </rPh>
    <phoneticPr fontId="2"/>
  </si>
  <si>
    <t>諸量</t>
    <rPh sb="0" eb="2">
      <t>ショリョウ</t>
    </rPh>
    <phoneticPr fontId="2"/>
  </si>
  <si>
    <t>テーパー点4</t>
    <phoneticPr fontId="2"/>
  </si>
  <si>
    <t>開始</t>
    <rPh sb="0" eb="2">
      <t>カイシ</t>
    </rPh>
    <phoneticPr fontId="2"/>
  </si>
  <si>
    <t>終了</t>
    <rPh sb="0" eb="2">
      <t>シュウリョウ</t>
    </rPh>
    <phoneticPr fontId="2"/>
  </si>
  <si>
    <t>テーパー点5</t>
  </si>
  <si>
    <t>基準リブオフセット線（桁中心基準で前縁側マイナス）</t>
    <rPh sb="0" eb="2">
      <t>キジュン</t>
    </rPh>
    <rPh sb="9" eb="10">
      <t>セン</t>
    </rPh>
    <phoneticPr fontId="2"/>
  </si>
  <si>
    <t>テーパー点6</t>
  </si>
  <si>
    <t>ハーフリブ</t>
    <phoneticPr fontId="2"/>
  </si>
  <si>
    <t>型紙桁穴余裕（桁直径＋mm）</t>
    <rPh sb="0" eb="2">
      <t>カタガミ</t>
    </rPh>
    <rPh sb="2" eb="4">
      <t>ケタアナ</t>
    </rPh>
    <rPh sb="4" eb="6">
      <t>ヨユウ</t>
    </rPh>
    <rPh sb="7" eb="8">
      <t>ケタ</t>
    </rPh>
    <rPh sb="8" eb="10">
      <t>チョッケイ</t>
    </rPh>
    <phoneticPr fontId="2"/>
  </si>
  <si>
    <t>翼端</t>
  </si>
  <si>
    <t>↑プランク等の継ぎ目が来ることに注意</t>
    <rPh sb="5" eb="6">
      <t>トウ</t>
    </rPh>
    <rPh sb="7" eb="8">
      <t>ツ</t>
    </rPh>
    <rPh sb="9" eb="10">
      <t>メ</t>
    </rPh>
    <rPh sb="11" eb="12">
      <t>ク</t>
    </rPh>
    <rPh sb="16" eb="18">
      <t>チュウイ</t>
    </rPh>
    <phoneticPr fontId="2"/>
  </si>
  <si>
    <t>↑すべての翼型の座標点数を合わせること</t>
    <rPh sb="5" eb="7">
      <t>ヨクガタ</t>
    </rPh>
    <rPh sb="8" eb="12">
      <t>ザヒョウテンスウ</t>
    </rPh>
    <rPh sb="13" eb="14">
      <t>ア</t>
    </rPh>
    <phoneticPr fontId="2"/>
  </si>
  <si>
    <t>最大ねじれトルク</t>
    <rPh sb="0" eb="2">
      <t>サイダイ</t>
    </rPh>
    <phoneticPr fontId="2"/>
  </si>
  <si>
    <t>番</t>
    <rPh sb="0" eb="1">
      <t>🚐</t>
    </rPh>
    <phoneticPr fontId="2"/>
  </si>
  <si>
    <t>最大曲げモーメント</t>
    <rPh sb="0" eb="2">
      <t>サイダイ</t>
    </rPh>
    <rPh sb="2" eb="3">
      <t>マ</t>
    </rPh>
    <phoneticPr fontId="2"/>
  </si>
  <si>
    <t>コード長傾き</t>
    <rPh sb="4" eb="5">
      <t>カタム</t>
    </rPh>
    <phoneticPr fontId="2"/>
  </si>
  <si>
    <t>切片</t>
    <rPh sb="0" eb="2">
      <t>セッペン</t>
    </rPh>
    <phoneticPr fontId="2"/>
  </si>
  <si>
    <t>取り付け角傾き</t>
    <rPh sb="0" eb="1">
      <t>トリツケ</t>
    </rPh>
    <rPh sb="5" eb="6">
      <t>カタム</t>
    </rPh>
    <phoneticPr fontId="2"/>
  </si>
  <si>
    <t>桁中心傾き</t>
    <rPh sb="0" eb="3">
      <t>ケタ</t>
    </rPh>
    <rPh sb="3" eb="4">
      <t>カタム</t>
    </rPh>
    <phoneticPr fontId="2"/>
  </si>
  <si>
    <t>桁縦径傾き</t>
    <rPh sb="3" eb="4">
      <t>カタムキ</t>
    </rPh>
    <phoneticPr fontId="2"/>
  </si>
  <si>
    <t>桁横径傾き</t>
    <rPh sb="3" eb="4">
      <t>カタムキ</t>
    </rPh>
    <phoneticPr fontId="2"/>
  </si>
  <si>
    <t>たわみエネルギー</t>
    <phoneticPr fontId="2"/>
  </si>
  <si>
    <t>m/m</t>
    <phoneticPr fontId="2"/>
  </si>
  <si>
    <t>deg/m</t>
    <phoneticPr fontId="2"/>
  </si>
  <si>
    <t>dxf</t>
  </si>
  <si>
    <t>翼厚余裕（両側）</t>
    <rPh sb="0" eb="2">
      <t>ヨクアツ</t>
    </rPh>
    <rPh sb="2" eb="4">
      <t>ヨユウ</t>
    </rPh>
    <rPh sb="5" eb="7">
      <t>リョウガワ</t>
    </rPh>
    <phoneticPr fontId="2"/>
  </si>
  <si>
    <t>svg</t>
  </si>
  <si>
    <t>周長</t>
    <rPh sb="0" eb="2">
      <t>シュウチョウ</t>
    </rPh>
    <phoneticPr fontId="2"/>
  </si>
  <si>
    <t>平均レイノルズ数</t>
    <rPh sb="0" eb="2">
      <t>ヘイキン</t>
    </rPh>
    <rPh sb="7" eb="8">
      <t>スウ</t>
    </rPh>
    <phoneticPr fontId="2"/>
  </si>
  <si>
    <t>開始位置</t>
    <rPh sb="0" eb="2">
      <t>カイセィ</t>
    </rPh>
    <rPh sb="2" eb="4">
      <t>イティ</t>
    </rPh>
    <phoneticPr fontId="2"/>
  </si>
  <si>
    <t>桁接合位置</t>
  </si>
  <si>
    <t>リブ面積</t>
    <phoneticPr fontId="2"/>
  </si>
  <si>
    <t>終了位置</t>
    <rPh sb="0" eb="4">
      <t>シュウリョウイチ</t>
    </rPh>
    <phoneticPr fontId="2"/>
  </si>
  <si>
    <t>0-1</t>
  </si>
  <si>
    <t>1-2</t>
  </si>
  <si>
    <t>初期間隔</t>
  </si>
  <si>
    <t>桁穴</t>
  </si>
  <si>
    <t>空力</t>
    <rPh sb="0" eb="2">
      <t>クウリキ</t>
    </rPh>
    <phoneticPr fontId="2"/>
  </si>
  <si>
    <t>幾何値</t>
    <rPh sb="0" eb="3">
      <t xml:space="preserve">キカ </t>
    </rPh>
    <phoneticPr fontId="2"/>
  </si>
  <si>
    <t>変形量</t>
    <rPh sb="0" eb="2">
      <t>ヘンケイ</t>
    </rPh>
    <rPh sb="2" eb="3">
      <t>リョウ</t>
    </rPh>
    <phoneticPr fontId="2"/>
  </si>
  <si>
    <t>面積など</t>
    <rPh sb="0" eb="2">
      <t>メンセキ</t>
    </rPh>
    <phoneticPr fontId="2"/>
  </si>
  <si>
    <t>リブ番号</t>
    <rPh sb="2" eb="4">
      <t>バンゴウ</t>
    </rPh>
    <phoneticPr fontId="1"/>
  </si>
  <si>
    <t>リブ位置</t>
    <phoneticPr fontId="2"/>
  </si>
  <si>
    <t>リブ間隔（一つ前のリブとの距離）</t>
    <phoneticPr fontId="2"/>
  </si>
  <si>
    <t>テーパー区間</t>
    <rPh sb="4" eb="6">
      <t>クカn</t>
    </rPh>
    <phoneticPr fontId="2"/>
  </si>
  <si>
    <t>桁区間</t>
    <rPh sb="0" eb="1">
      <t>ケタ</t>
    </rPh>
    <rPh sb="1" eb="3">
      <t>クカn</t>
    </rPh>
    <phoneticPr fontId="2"/>
  </si>
  <si>
    <t>z桁直径</t>
    <rPh sb="2" eb="3">
      <t>チョッケイ</t>
    </rPh>
    <phoneticPr fontId="2"/>
  </si>
  <si>
    <t>x桁直径</t>
    <rPh sb="2" eb="3">
      <t>チョッケイ</t>
    </rPh>
    <phoneticPr fontId="2"/>
  </si>
  <si>
    <t>翼厚余裕</t>
  </si>
  <si>
    <t>有効迎角（ねじれ＆吹きおろしを考慮）</t>
    <rPh sb="0" eb="2">
      <t>ユウコウ</t>
    </rPh>
    <rPh sb="2" eb="4">
      <t>ゲイカク</t>
    </rPh>
    <rPh sb="9" eb="10">
      <t>フ</t>
    </rPh>
    <rPh sb="15" eb="17">
      <t>コウリョ</t>
    </rPh>
    <phoneticPr fontId="1"/>
  </si>
  <si>
    <t>レイノルズ数</t>
    <rPh sb="5" eb="6">
      <t>スウ</t>
    </rPh>
    <phoneticPr fontId="1"/>
  </si>
  <si>
    <t>揚力</t>
  </si>
  <si>
    <t>抗力</t>
  </si>
  <si>
    <t>有害抗力係数</t>
    <rPh sb="0" eb="2">
      <t>ユウガイ</t>
    </rPh>
    <rPh sb="2" eb="4">
      <t>コウリョク</t>
    </rPh>
    <rPh sb="4" eb="6">
      <t>ケイスウ</t>
    </rPh>
    <phoneticPr fontId="1"/>
  </si>
  <si>
    <t>誘導抗力係数</t>
  </si>
  <si>
    <t>桁位置まわりピッチングモーメント</t>
  </si>
  <si>
    <t>抗力傾斜</t>
    <rPh sb="0" eb="2">
      <t>コウリョク</t>
    </rPh>
    <rPh sb="2" eb="4">
      <t>ケイシャ</t>
    </rPh>
    <phoneticPr fontId="1"/>
  </si>
  <si>
    <t>循環</t>
    <rPh sb="0" eb="2">
      <t>ジュンカン</t>
    </rPh>
    <phoneticPr fontId="1"/>
  </si>
  <si>
    <t>吹きおろし</t>
    <rPh sb="0" eb="1">
      <t>フ</t>
    </rPh>
    <phoneticPr fontId="1"/>
  </si>
  <si>
    <t>翼型1</t>
    <phoneticPr fontId="2"/>
  </si>
  <si>
    <t>翼型1配合率</t>
    <rPh sb="3" eb="6">
      <t>ハイゴウ</t>
    </rPh>
    <phoneticPr fontId="2"/>
  </si>
  <si>
    <t>翼型2</t>
    <phoneticPr fontId="2"/>
  </si>
  <si>
    <t>翼型2配合率</t>
    <rPh sb="3" eb="6">
      <t>ハイゴウ</t>
    </rPh>
    <phoneticPr fontId="2"/>
  </si>
  <si>
    <t>前縁位置</t>
    <rPh sb="0" eb="2">
      <t>ゼンエン</t>
    </rPh>
    <rPh sb="2" eb="4">
      <t>イチ</t>
    </rPh>
    <phoneticPr fontId="1"/>
  </si>
  <si>
    <t>後縁位置</t>
    <rPh sb="0" eb="2">
      <t>コウエン</t>
    </rPh>
    <rPh sb="2" eb="4">
      <t>イチ</t>
    </rPh>
    <phoneticPr fontId="1"/>
  </si>
  <si>
    <t>y位置</t>
    <rPh sb="1" eb="3">
      <t>イチ</t>
    </rPh>
    <phoneticPr fontId="1"/>
  </si>
  <si>
    <t>高さ</t>
  </si>
  <si>
    <t>上反角</t>
    <rPh sb="0" eb="3">
      <t>ジョウハンカク</t>
    </rPh>
    <phoneticPr fontId="1"/>
  </si>
  <si>
    <t>変形後取り付け角</t>
    <rPh sb="0" eb="3">
      <t>ヘンケイ</t>
    </rPh>
    <rPh sb="3" eb="4">
      <t>ト</t>
    </rPh>
    <rPh sb="5" eb="6">
      <t>ツ</t>
    </rPh>
    <rPh sb="7" eb="8">
      <t>カク</t>
    </rPh>
    <phoneticPr fontId="1"/>
  </si>
  <si>
    <t>変形後上反角</t>
    <rPh sb="0" eb="3">
      <t>ヘンケイ</t>
    </rPh>
    <rPh sb="3" eb="6">
      <t>ジョウハンカク</t>
    </rPh>
    <phoneticPr fontId="1"/>
  </si>
  <si>
    <t>変形後y位置</t>
    <rPh sb="0" eb="3">
      <t>ヘンケイ</t>
    </rPh>
    <rPh sb="4" eb="6">
      <t xml:space="preserve">イチ </t>
    </rPh>
    <phoneticPr fontId="1"/>
  </si>
  <si>
    <t>変形後高さ</t>
    <rPh sb="0" eb="3">
      <t>ヘンケイ</t>
    </rPh>
    <rPh sb="3" eb="4">
      <t>タカサ</t>
    </rPh>
    <phoneticPr fontId="1"/>
  </si>
  <si>
    <t>たわみ</t>
    <phoneticPr fontId="1"/>
  </si>
  <si>
    <t>ねじれ角</t>
    <rPh sb="3" eb="4">
      <t xml:space="preserve">カク </t>
    </rPh>
    <phoneticPr fontId="1"/>
  </si>
  <si>
    <t>全周長さ</t>
    <rPh sb="0" eb="2">
      <t>ゼンシュウ</t>
    </rPh>
    <rPh sb="2" eb="3">
      <t xml:space="preserve">ナガサ </t>
    </rPh>
    <phoneticPr fontId="2"/>
  </si>
  <si>
    <t>プランク長</t>
    <phoneticPr fontId="2"/>
  </si>
  <si>
    <t>リブ材腹</t>
    <rPh sb="3" eb="4">
      <t xml:space="preserve">ハラ </t>
    </rPh>
    <phoneticPr fontId="2"/>
  </si>
  <si>
    <t>リブ材背</t>
    <rPh sb="3" eb="4">
      <t xml:space="preserve">セ </t>
    </rPh>
    <phoneticPr fontId="2"/>
  </si>
  <si>
    <t>主翼重心からの距離の2乗</t>
    <rPh sb="0" eb="2">
      <t>シュヨク</t>
    </rPh>
    <rPh sb="2" eb="4">
      <t>ジュウシン</t>
    </rPh>
    <rPh sb="7" eb="9">
      <t>キョリ</t>
    </rPh>
    <rPh sb="11" eb="12">
      <t>ジョウ</t>
    </rPh>
    <phoneticPr fontId="2"/>
  </si>
  <si>
    <t>n</t>
    <phoneticPr fontId="2"/>
  </si>
  <si>
    <t>n</t>
    <phoneticPr fontId="1"/>
  </si>
  <si>
    <t>cn</t>
  </si>
  <si>
    <t>Δy</t>
  </si>
  <si>
    <t>α</t>
    <phoneticPr fontId="1"/>
  </si>
  <si>
    <t>Re</t>
    <phoneticPr fontId="1"/>
  </si>
  <si>
    <t>Cl</t>
    <phoneticPr fontId="1"/>
  </si>
  <si>
    <t>Cdi</t>
  </si>
  <si>
    <t>Cm</t>
    <phoneticPr fontId="1"/>
  </si>
  <si>
    <t>Cm_cg</t>
    <phoneticPr fontId="1"/>
  </si>
  <si>
    <t>Clα</t>
    <phoneticPr fontId="1"/>
  </si>
  <si>
    <t>Γc</t>
    <phoneticPr fontId="1"/>
  </si>
  <si>
    <t>wi</t>
    <phoneticPr fontId="1"/>
  </si>
  <si>
    <t>xLE</t>
    <phoneticPr fontId="1"/>
  </si>
  <si>
    <t>xTE</t>
    <phoneticPr fontId="1"/>
  </si>
  <si>
    <t>yn</t>
    <phoneticPr fontId="1"/>
  </si>
  <si>
    <t>zn</t>
  </si>
  <si>
    <t>Γ</t>
  </si>
  <si>
    <t>αd</t>
    <phoneticPr fontId="2"/>
  </si>
  <si>
    <t>Γd</t>
    <phoneticPr fontId="1"/>
  </si>
  <si>
    <t>ynd</t>
    <phoneticPr fontId="1"/>
  </si>
  <si>
    <t>znd</t>
    <phoneticPr fontId="1"/>
  </si>
  <si>
    <t>w</t>
    <phoneticPr fontId="1"/>
  </si>
  <si>
    <t>Φ</t>
    <phoneticPr fontId="1"/>
  </si>
  <si>
    <t>y^2+z^2</t>
    <phoneticPr fontId="2"/>
  </si>
  <si>
    <t>z^2+x^2</t>
    <phoneticPr fontId="2"/>
  </si>
  <si>
    <t>x^2+y^2</t>
    <phoneticPr fontId="2"/>
  </si>
  <si>
    <t>mm</t>
  </si>
  <si>
    <t>deg</t>
    <phoneticPr fontId="1"/>
  </si>
  <si>
    <t>N m</t>
  </si>
  <si>
    <t>1/deg</t>
    <phoneticPr fontId="1"/>
  </si>
  <si>
    <t>m^2/s</t>
    <phoneticPr fontId="1"/>
  </si>
  <si>
    <t>m/s</t>
    <phoneticPr fontId="1"/>
  </si>
  <si>
    <t>full</t>
    <phoneticPr fontId="2"/>
  </si>
  <si>
    <t>full</t>
  </si>
  <si>
    <t>位置</t>
    <rPh sb="0" eb="2">
      <t>イチ</t>
    </rPh>
    <phoneticPr fontId="2"/>
  </si>
  <si>
    <t>スパー</t>
    <phoneticPr fontId="2"/>
  </si>
  <si>
    <t>Ix</t>
    <phoneticPr fontId="2"/>
  </si>
  <si>
    <t>Iy</t>
    <phoneticPr fontId="2"/>
  </si>
  <si>
    <t>J</t>
    <phoneticPr fontId="2"/>
  </si>
  <si>
    <t>A</t>
    <phoneticPr fontId="2"/>
  </si>
  <si>
    <t>Am</t>
    <phoneticPr fontId="2"/>
  </si>
  <si>
    <t>L</t>
    <phoneticPr fontId="2"/>
  </si>
  <si>
    <t>E</t>
    <phoneticPr fontId="2"/>
  </si>
  <si>
    <t>Eix</t>
    <phoneticPr fontId="2"/>
  </si>
  <si>
    <t>GJ</t>
    <phoneticPr fontId="2"/>
  </si>
  <si>
    <t>Nf</t>
    <phoneticPr fontId="2"/>
  </si>
  <si>
    <t>σmax</t>
    <phoneticPr fontId="2"/>
  </si>
  <si>
    <t>Nf/Nmax</t>
    <phoneticPr fontId="2"/>
  </si>
  <si>
    <t>mm^4</t>
    <phoneticPr fontId="2"/>
  </si>
  <si>
    <t>mm^2</t>
    <phoneticPr fontId="2"/>
  </si>
  <si>
    <t xml:space="preserve">mm^2 </t>
    <phoneticPr fontId="2"/>
  </si>
  <si>
    <t>N*m^2</t>
    <phoneticPr fontId="2"/>
  </si>
  <si>
    <t>N/mm</t>
    <phoneticPr fontId="2"/>
  </si>
  <si>
    <t>N*mm</t>
    <phoneticPr fontId="2"/>
  </si>
  <si>
    <t>N/mm^2</t>
    <phoneticPr fontId="2"/>
  </si>
  <si>
    <t>1-2接合</t>
  </si>
  <si>
    <t>2-3接合</t>
  </si>
  <si>
    <t>翼端</t>
    <rPh sb="0" eb="2">
      <t>ヨクタン</t>
    </rPh>
    <phoneticPr fontId="2"/>
  </si>
  <si>
    <t>λ</t>
    <phoneticPr fontId="2"/>
  </si>
  <si>
    <t>N*m</t>
    <phoneticPr fontId="2"/>
  </si>
  <si>
    <t>2-3</t>
    <phoneticPr fontId="2"/>
  </si>
  <si>
    <t>実測値</t>
    <rPh sb="0" eb="3">
      <t>ジッソクチ</t>
    </rPh>
    <phoneticPr fontId="2"/>
  </si>
  <si>
    <t>3-4</t>
    <phoneticPr fontId="2"/>
  </si>
  <si>
    <t>翼型</t>
    <rPh sb="0" eb="2">
      <t>ヨクガタ</t>
    </rPh>
    <phoneticPr fontId="2"/>
  </si>
  <si>
    <t>高度</t>
    <rPh sb="0" eb="2">
      <t>コウド</t>
    </rPh>
    <phoneticPr fontId="2"/>
  </si>
  <si>
    <t>重み</t>
    <rPh sb="0" eb="1">
      <t>オモ</t>
    </rPh>
    <phoneticPr fontId="2"/>
  </si>
  <si>
    <t>[m]</t>
    <phoneticPr fontId="2"/>
  </si>
  <si>
    <t>[m/s]</t>
    <phoneticPr fontId="2"/>
  </si>
  <si>
    <t>状態</t>
    <rPh sb="0" eb="2">
      <t>ジョウタイ</t>
    </rPh>
    <phoneticPr fontId="2"/>
  </si>
  <si>
    <t>全機迎角</t>
    <rPh sb="0" eb="2">
      <t>ゼンキ</t>
    </rPh>
    <rPh sb="2" eb="4">
      <t>ゲイカク</t>
    </rPh>
    <phoneticPr fontId="2"/>
  </si>
  <si>
    <t>[degree]</t>
    <phoneticPr fontId="2"/>
  </si>
  <si>
    <t>解析条件</t>
    <rPh sb="0" eb="4">
      <t>カイセキジョウケン</t>
    </rPh>
    <phoneticPr fontId="2"/>
  </si>
  <si>
    <t>beta</t>
    <phoneticPr fontId="2"/>
  </si>
  <si>
    <t>曲げモーメント</t>
    <rPh sb="0" eb="1">
      <t>マ</t>
    </rPh>
    <phoneticPr fontId="2"/>
  </si>
  <si>
    <t>TR797の必要条件</t>
    <rPh sb="6" eb="8">
      <t>ヒツヨウ</t>
    </rPh>
    <rPh sb="8" eb="10">
      <t>ジョウケン</t>
    </rPh>
    <phoneticPr fontId="2"/>
  </si>
  <si>
    <t>[N*m]</t>
    <phoneticPr fontId="2"/>
  </si>
  <si>
    <t>テーパー点</t>
    <rPh sb="4" eb="5">
      <t>テン</t>
    </rPh>
    <phoneticPr fontId="2"/>
  </si>
  <si>
    <t>上反角</t>
    <rPh sb="0" eb="3">
      <t>ジョウハンカク</t>
    </rPh>
    <phoneticPr fontId="2"/>
  </si>
  <si>
    <t>角度</t>
    <rPh sb="0" eb="2">
      <t>カクド</t>
    </rPh>
    <phoneticPr fontId="2"/>
  </si>
  <si>
    <t>必要揚力</t>
    <rPh sb="0" eb="4">
      <t>ヒツヨウヨウリョク</t>
    </rPh>
    <phoneticPr fontId="2"/>
  </si>
  <si>
    <t>空気密度</t>
    <rPh sb="0" eb="4">
      <t>クウキミツド</t>
    </rPh>
    <phoneticPr fontId="2"/>
  </si>
  <si>
    <t>[N]</t>
    <phoneticPr fontId="2"/>
  </si>
  <si>
    <t>[kg/m^3]</t>
    <phoneticPr fontId="2"/>
  </si>
  <si>
    <t>０番中央</t>
    <rPh sb="1" eb="2">
      <t>バン</t>
    </rPh>
    <rPh sb="2" eb="4">
      <t>チュウオウ</t>
    </rPh>
    <phoneticPr fontId="2"/>
  </si>
  <si>
    <t>テーパー１</t>
    <phoneticPr fontId="2"/>
  </si>
  <si>
    <t>テーパー２</t>
    <phoneticPr fontId="2"/>
  </si>
  <si>
    <t>テーパー３</t>
    <phoneticPr fontId="2"/>
  </si>
  <si>
    <t>テーパー４</t>
    <phoneticPr fontId="2"/>
  </si>
  <si>
    <t>テーパー５</t>
    <phoneticPr fontId="2"/>
  </si>
  <si>
    <t>テーパー６</t>
    <phoneticPr fontId="2"/>
  </si>
  <si>
    <t>ウィングレット１</t>
    <phoneticPr fontId="2"/>
  </si>
  <si>
    <t>ウィングレット2</t>
    <phoneticPr fontId="2"/>
  </si>
  <si>
    <t>分割区間</t>
    <rPh sb="0" eb="4">
      <t>ブンカツクカン</t>
    </rPh>
    <phoneticPr fontId="2"/>
  </si>
  <si>
    <t>分割数</t>
    <rPh sb="0" eb="3">
      <t>ブンカツスウ</t>
    </rPh>
    <phoneticPr fontId="2"/>
  </si>
  <si>
    <t>[mm]</t>
    <phoneticPr fontId="2"/>
  </si>
  <si>
    <t>Lift</t>
    <phoneticPr fontId="2"/>
  </si>
  <si>
    <t>span_div</t>
    <phoneticPr fontId="2"/>
  </si>
  <si>
    <t>rho</t>
    <phoneticPr fontId="2"/>
  </si>
  <si>
    <t>2*ds</t>
    <phoneticPr fontId="2"/>
  </si>
  <si>
    <t>[枚]</t>
    <rPh sb="1" eb="2">
      <t>マイ</t>
    </rPh>
    <phoneticPr fontId="2"/>
  </si>
  <si>
    <t>コード長</t>
    <rPh sb="3" eb="4">
      <t>チョウ</t>
    </rPh>
    <phoneticPr fontId="2"/>
  </si>
  <si>
    <t>取り付け角</t>
    <rPh sb="0" eb="1">
      <t>ト</t>
    </rPh>
    <rPh sb="2" eb="3">
      <t>ツ</t>
    </rPh>
    <rPh sb="4" eb="5">
      <t>カク</t>
    </rPh>
    <phoneticPr fontId="2"/>
  </si>
  <si>
    <t>楕円循環</t>
    <rPh sb="0" eb="4">
      <t>ダエンジュンカン</t>
    </rPh>
    <phoneticPr fontId="2"/>
  </si>
  <si>
    <t>TR797</t>
    <phoneticPr fontId="2"/>
  </si>
  <si>
    <t>LLT</t>
    <phoneticPr fontId="2"/>
  </si>
  <si>
    <t>QX0026 v7.txt</t>
  </si>
  <si>
    <t>C:\Users\renya\OneDrive\デスクトップ\鳥人間\QX26設計\設計シート\QX26\Airfoil\QX0026 v7.txt</t>
  </si>
  <si>
    <t>TR797出力</t>
    <rPh sb="5" eb="7">
      <t>シュツリョク</t>
    </rPh>
    <phoneticPr fontId="2"/>
  </si>
  <si>
    <t>翼効率</t>
    <rPh sb="0" eb="1">
      <t>ヨク</t>
    </rPh>
    <rPh sb="1" eb="3">
      <t>コウリツ</t>
    </rPh>
    <phoneticPr fontId="2"/>
  </si>
  <si>
    <t>揚力</t>
    <rPh sb="0" eb="2">
      <t>ヨウリョク</t>
    </rPh>
    <phoneticPr fontId="2"/>
  </si>
  <si>
    <t>N</t>
    <phoneticPr fontId="2"/>
  </si>
  <si>
    <t>誘導抗力</t>
    <rPh sb="0" eb="2">
      <t>ユウドウ</t>
    </rPh>
    <rPh sb="2" eb="4">
      <t>コウリョク</t>
    </rPh>
    <phoneticPr fontId="2"/>
  </si>
  <si>
    <t>Di</t>
    <phoneticPr fontId="2"/>
  </si>
  <si>
    <t>翼根曲げモーメント</t>
    <rPh sb="0" eb="1">
      <t>ヨク</t>
    </rPh>
    <rPh sb="1" eb="2">
      <t>コン</t>
    </rPh>
    <rPh sb="2" eb="3">
      <t>マ</t>
    </rPh>
    <phoneticPr fontId="2"/>
  </si>
  <si>
    <t>B</t>
    <phoneticPr fontId="2"/>
  </si>
  <si>
    <t>推算値</t>
    <rPh sb="0" eb="2">
      <t>スイサン</t>
    </rPh>
    <rPh sb="2" eb="3">
      <t>チ</t>
    </rPh>
    <phoneticPr fontId="2"/>
  </si>
  <si>
    <t>誤差</t>
    <rPh sb="0" eb="2">
      <t>ゴサ</t>
    </rPh>
    <phoneticPr fontId="2"/>
  </si>
  <si>
    <t>　</t>
    <phoneticPr fontId="2"/>
  </si>
  <si>
    <t>合計</t>
    <rPh sb="0" eb="2">
      <t>ゴウケイ</t>
    </rPh>
    <phoneticPr fontId="2"/>
  </si>
  <si>
    <t>スパー諸元</t>
    <rPh sb="3" eb="5">
      <t>ショゲン</t>
    </rPh>
    <phoneticPr fontId="2"/>
  </si>
  <si>
    <t>スパー寸法</t>
    <rPh sb="3" eb="5">
      <t>スンポウ</t>
    </rPh>
    <phoneticPr fontId="2"/>
  </si>
  <si>
    <t>0番長軸内径</t>
    <rPh sb="1" eb="2">
      <t>バン</t>
    </rPh>
    <rPh sb="2" eb="4">
      <t>チョウジク</t>
    </rPh>
    <rPh sb="4" eb="6">
      <t>ナイケイ</t>
    </rPh>
    <phoneticPr fontId="2"/>
  </si>
  <si>
    <t>1番長軸内径</t>
    <rPh sb="1" eb="2">
      <t>バン</t>
    </rPh>
    <rPh sb="2" eb="4">
      <t>チョウジク</t>
    </rPh>
    <rPh sb="4" eb="6">
      <t>ナイケイ</t>
    </rPh>
    <phoneticPr fontId="2"/>
  </si>
  <si>
    <t>2番長軸内径</t>
    <rPh sb="1" eb="2">
      <t>バン</t>
    </rPh>
    <rPh sb="2" eb="4">
      <t>チョウジク</t>
    </rPh>
    <rPh sb="4" eb="6">
      <t>ナイケイ</t>
    </rPh>
    <phoneticPr fontId="2"/>
  </si>
  <si>
    <t>3番長軸内径</t>
    <rPh sb="1" eb="2">
      <t>バン</t>
    </rPh>
    <rPh sb="2" eb="4">
      <t>チョウジク</t>
    </rPh>
    <rPh sb="4" eb="6">
      <t>ナイケイ</t>
    </rPh>
    <phoneticPr fontId="2"/>
  </si>
  <si>
    <t>材料密度</t>
    <rPh sb="0" eb="2">
      <t>ザイリョウ</t>
    </rPh>
    <rPh sb="2" eb="4">
      <t>ミツド</t>
    </rPh>
    <phoneticPr fontId="2"/>
  </si>
  <si>
    <t>スパー番号</t>
    <rPh sb="3" eb="5">
      <t>バンゴウ</t>
    </rPh>
    <phoneticPr fontId="2"/>
  </si>
  <si>
    <t>積層数</t>
    <rPh sb="0" eb="2">
      <t>セキソウ</t>
    </rPh>
    <rPh sb="2" eb="3">
      <t>スウ</t>
    </rPh>
    <phoneticPr fontId="2"/>
  </si>
  <si>
    <t>オビ</t>
    <phoneticPr fontId="2"/>
  </si>
  <si>
    <t>テーパー比</t>
    <rPh sb="4" eb="5">
      <t>ヒ</t>
    </rPh>
    <phoneticPr fontId="2"/>
  </si>
  <si>
    <t>横弾性係数</t>
    <rPh sb="0" eb="1">
      <t>ヨコ</t>
    </rPh>
    <rPh sb="1" eb="3">
      <t>ダンセイ</t>
    </rPh>
    <rPh sb="3" eb="5">
      <t>ケイスウ</t>
    </rPh>
    <phoneticPr fontId="2"/>
  </si>
  <si>
    <t>長さ</t>
    <rPh sb="0" eb="1">
      <t>ナガ</t>
    </rPh>
    <phoneticPr fontId="2"/>
  </si>
  <si>
    <t>最大合力</t>
    <rPh sb="0" eb="2">
      <t>サイダイ</t>
    </rPh>
    <rPh sb="2" eb="4">
      <t>ゴウリョク</t>
    </rPh>
    <phoneticPr fontId="2"/>
  </si>
  <si>
    <t>長軸外径</t>
    <rPh sb="0" eb="2">
      <t>チョウジク</t>
    </rPh>
    <rPh sb="2" eb="4">
      <t>ガイケイ</t>
    </rPh>
    <phoneticPr fontId="2"/>
  </si>
  <si>
    <t>短軸外径</t>
    <rPh sb="0" eb="2">
      <t>タンジク</t>
    </rPh>
    <rPh sb="2" eb="4">
      <t>ガイケイ</t>
    </rPh>
    <phoneticPr fontId="2"/>
  </si>
  <si>
    <t>長軸内径</t>
    <rPh sb="0" eb="2">
      <t>チョウジク</t>
    </rPh>
    <rPh sb="2" eb="4">
      <t>ナイケイ</t>
    </rPh>
    <phoneticPr fontId="2"/>
  </si>
  <si>
    <t>短軸内径</t>
    <rPh sb="0" eb="2">
      <t>タンジク</t>
    </rPh>
    <rPh sb="2" eb="4">
      <t>ナイケイ</t>
    </rPh>
    <phoneticPr fontId="2"/>
  </si>
  <si>
    <t>傾き</t>
    <rPh sb="0" eb="1">
      <t>カタム</t>
    </rPh>
    <phoneticPr fontId="2"/>
  </si>
  <si>
    <t>2*bo</t>
    <phoneticPr fontId="2"/>
  </si>
  <si>
    <t>2*ao</t>
    <phoneticPr fontId="2"/>
  </si>
  <si>
    <t>2*bi</t>
    <phoneticPr fontId="2"/>
  </si>
  <si>
    <t>2*ai</t>
    <phoneticPr fontId="2"/>
  </si>
  <si>
    <t>ai</t>
    <phoneticPr fontId="2"/>
  </si>
  <si>
    <t>bo</t>
    <phoneticPr fontId="2"/>
  </si>
  <si>
    <t>ao</t>
    <phoneticPr fontId="2"/>
  </si>
  <si>
    <t>bi</t>
    <phoneticPr fontId="2"/>
  </si>
  <si>
    <t>ply</t>
    <phoneticPr fontId="2"/>
  </si>
  <si>
    <t>長軸mm/スパー位置m</t>
    <rPh sb="0" eb="2">
      <t>チョウジク</t>
    </rPh>
    <rPh sb="8" eb="10">
      <t>イチ</t>
    </rPh>
    <phoneticPr fontId="2"/>
  </si>
  <si>
    <t>0番flat</t>
    <rPh sb="1" eb="2">
      <t>バン</t>
    </rPh>
    <phoneticPr fontId="2"/>
  </si>
  <si>
    <t>0番テーパー開始</t>
    <rPh sb="1" eb="2">
      <t>バン</t>
    </rPh>
    <rPh sb="6" eb="8">
      <t>カイシ</t>
    </rPh>
    <phoneticPr fontId="2"/>
  </si>
  <si>
    <t>0-1接合</t>
    <phoneticPr fontId="2"/>
  </si>
  <si>
    <t>0番切後細端</t>
    <rPh sb="1" eb="2">
      <t>バン</t>
    </rPh>
    <rPh sb="2" eb="3">
      <t>キリ</t>
    </rPh>
    <rPh sb="3" eb="4">
      <t>アト</t>
    </rPh>
    <rPh sb="4" eb="5">
      <t>ホソ</t>
    </rPh>
    <rPh sb="5" eb="6">
      <t>ハシ</t>
    </rPh>
    <phoneticPr fontId="2"/>
  </si>
  <si>
    <t>↑実際は3.8で切り落とし</t>
    <rPh sb="1" eb="3">
      <t>ジッサイ</t>
    </rPh>
    <rPh sb="8" eb="9">
      <t>キ</t>
    </rPh>
    <rPh sb="10" eb="11">
      <t>オ</t>
    </rPh>
    <phoneticPr fontId="2"/>
  </si>
  <si>
    <t>1番切後細端</t>
  </si>
  <si>
    <t>接合部</t>
    <rPh sb="0" eb="2">
      <t>セツゴウ</t>
    </rPh>
    <rPh sb="2" eb="3">
      <t>ブ</t>
    </rPh>
    <phoneticPr fontId="2"/>
  </si>
  <si>
    <t>挿ししろ</t>
    <rPh sb="0" eb="1">
      <t>サ</t>
    </rPh>
    <phoneticPr fontId="2"/>
  </si>
  <si>
    <t>厚さマージン</t>
    <rPh sb="0" eb="1">
      <t>アツ</t>
    </rPh>
    <phoneticPr fontId="2"/>
  </si>
  <si>
    <t>2番切後細端</t>
  </si>
  <si>
    <t>0-1接合</t>
    <rPh sb="3" eb="5">
      <t>セツゴウ</t>
    </rPh>
    <phoneticPr fontId="2"/>
  </si>
  <si>
    <t>1-2接合</t>
    <rPh sb="3" eb="5">
      <t>セツゴウ</t>
    </rPh>
    <phoneticPr fontId="2"/>
  </si>
  <si>
    <t>2-3接合</t>
    <rPh sb="3" eb="5">
      <t>セツゴウ</t>
    </rPh>
    <phoneticPr fontId="2"/>
  </si>
  <si>
    <t>短軸/長軸比</t>
    <rPh sb="0" eb="2">
      <t>タンジク</t>
    </rPh>
    <rPh sb="3" eb="5">
      <t>チョウジク</t>
    </rPh>
    <rPh sb="5" eb="6">
      <t>ヒ</t>
    </rPh>
    <phoneticPr fontId="2"/>
  </si>
  <si>
    <t>周方向分割数</t>
    <rPh sb="0" eb="1">
      <t>シュウ</t>
    </rPh>
    <rPh sb="1" eb="3">
      <t>ホウコウ</t>
    </rPh>
    <rPh sb="3" eb="6">
      <t>ブンカツスウ</t>
    </rPh>
    <phoneticPr fontId="2"/>
  </si>
  <si>
    <t>num</t>
    <phoneticPr fontId="2"/>
  </si>
  <si>
    <t>リブ間隔</t>
    <rPh sb="2" eb="4">
      <t>カンカク</t>
    </rPh>
    <phoneticPr fontId="2"/>
  </si>
  <si>
    <t>Δy</t>
    <phoneticPr fontId="2"/>
  </si>
  <si>
    <t>翼根コード長</t>
    <rPh sb="0" eb="1">
      <t>ヨク</t>
    </rPh>
    <rPh sb="1" eb="2">
      <t>コン</t>
    </rPh>
    <rPh sb="5" eb="6">
      <t>チョウ</t>
    </rPh>
    <phoneticPr fontId="2"/>
  </si>
  <si>
    <t>c0</t>
    <phoneticPr fontId="2"/>
  </si>
  <si>
    <t>分割数</t>
    <rPh sb="0" eb="2">
      <t>ブンカツ</t>
    </rPh>
    <rPh sb="2" eb="3">
      <t>スウ</t>
    </rPh>
    <phoneticPr fontId="2"/>
  </si>
  <si>
    <t>片翼分のリブ枚数．</t>
    <rPh sb="0" eb="2">
      <t>カタヨク</t>
    </rPh>
    <rPh sb="2" eb="3">
      <t>ブン</t>
    </rPh>
    <rPh sb="6" eb="8">
      <t>マイスウ</t>
    </rPh>
    <phoneticPr fontId="2"/>
  </si>
  <si>
    <t>hcg位置での翼厚（俗にいうリブ厚）</t>
    <rPh sb="3" eb="5">
      <t>イチ</t>
    </rPh>
    <rPh sb="7" eb="8">
      <t>ヨク</t>
    </rPh>
    <rPh sb="8" eb="9">
      <t>アツ</t>
    </rPh>
    <rPh sb="10" eb="11">
      <t>ゾク</t>
    </rPh>
    <rPh sb="16" eb="17">
      <t>アツ</t>
    </rPh>
    <phoneticPr fontId="2"/>
  </si>
  <si>
    <t>IF(E134&lt;$M$12,"",IF(E134&lt;$M$13,$AJ$12*E134+$AK$12,IF(E134&lt;=$M$14,$AJ$13*E134+$AK$13,"")))</t>
    <phoneticPr fontId="2"/>
  </si>
  <si>
    <t xml:space="preserve"> </t>
    <phoneticPr fontId="2"/>
  </si>
  <si>
    <t>翼厚チェック</t>
    <rPh sb="0" eb="2">
      <t>ヨクアツ</t>
    </rPh>
    <phoneticPr fontId="2"/>
  </si>
  <si>
    <t>強度計算</t>
    <rPh sb="0" eb="2">
      <t>キョウド</t>
    </rPh>
    <rPh sb="2" eb="4">
      <t>ケイサン</t>
    </rPh>
    <phoneticPr fontId="2"/>
  </si>
  <si>
    <t>断面積</t>
    <rPh sb="0" eb="3">
      <t>ダンメンセキ</t>
    </rPh>
    <phoneticPr fontId="2"/>
  </si>
  <si>
    <t>体積</t>
    <rPh sb="0" eb="2">
      <t>タイセキ</t>
    </rPh>
    <phoneticPr fontId="2"/>
  </si>
  <si>
    <t>外径長半軸</t>
    <rPh sb="0" eb="2">
      <t>ガイケイ</t>
    </rPh>
    <rPh sb="2" eb="3">
      <t>チョウ</t>
    </rPh>
    <rPh sb="3" eb="4">
      <t>ハン</t>
    </rPh>
    <rPh sb="4" eb="5">
      <t>ジク</t>
    </rPh>
    <phoneticPr fontId="2"/>
  </si>
  <si>
    <t>外径短半軸</t>
    <rPh sb="0" eb="2">
      <t>ガイケイ</t>
    </rPh>
    <rPh sb="2" eb="3">
      <t>タン</t>
    </rPh>
    <rPh sb="3" eb="4">
      <t>ハン</t>
    </rPh>
    <rPh sb="4" eb="5">
      <t>ジク</t>
    </rPh>
    <phoneticPr fontId="2"/>
  </si>
  <si>
    <t>内径長半軸</t>
    <rPh sb="0" eb="2">
      <t>ナイケイ</t>
    </rPh>
    <rPh sb="2" eb="3">
      <t>チョウ</t>
    </rPh>
    <rPh sb="3" eb="4">
      <t>ハン</t>
    </rPh>
    <rPh sb="4" eb="5">
      <t>ジク</t>
    </rPh>
    <phoneticPr fontId="2"/>
  </si>
  <si>
    <t>内径短半軸</t>
    <rPh sb="0" eb="2">
      <t>ナイケイ</t>
    </rPh>
    <rPh sb="2" eb="3">
      <t>タン</t>
    </rPh>
    <rPh sb="3" eb="4">
      <t>ハン</t>
    </rPh>
    <rPh sb="4" eb="5">
      <t>ジク</t>
    </rPh>
    <phoneticPr fontId="2"/>
  </si>
  <si>
    <t>断面二次モーメント</t>
    <rPh sb="0" eb="2">
      <t>ダンメン</t>
    </rPh>
    <rPh sb="2" eb="4">
      <t>ニジ</t>
    </rPh>
    <phoneticPr fontId="2"/>
  </si>
  <si>
    <t>ねじれ定数</t>
    <rPh sb="3" eb="5">
      <t>テイスウ</t>
    </rPh>
    <phoneticPr fontId="2"/>
  </si>
  <si>
    <t>囲まれる面積</t>
    <rPh sb="0" eb="1">
      <t>カコ</t>
    </rPh>
    <rPh sb="4" eb="6">
      <t>メンセキ</t>
    </rPh>
    <phoneticPr fontId="2"/>
  </si>
  <si>
    <t>周長</t>
    <rPh sb="0" eb="1">
      <t>シュウ</t>
    </rPh>
    <rPh sb="1" eb="2">
      <t>チョウ</t>
    </rPh>
    <phoneticPr fontId="2"/>
  </si>
  <si>
    <t>曲げ剛性</t>
    <rPh sb="0" eb="1">
      <t>マ</t>
    </rPh>
    <rPh sb="2" eb="4">
      <t>ゴウセイ</t>
    </rPh>
    <phoneticPr fontId="2"/>
  </si>
  <si>
    <t>ねじれ剛性</t>
    <rPh sb="3" eb="5">
      <t>ゴウセイ</t>
    </rPh>
    <phoneticPr fontId="2"/>
  </si>
  <si>
    <t>翼厚-長軸径</t>
    <rPh sb="0" eb="2">
      <t>ヨクアツ</t>
    </rPh>
    <rPh sb="3" eb="4">
      <t>チョウ</t>
    </rPh>
    <rPh sb="4" eb="6">
      <t>ジクケイ</t>
    </rPh>
    <phoneticPr fontId="2"/>
  </si>
  <si>
    <t>破断合力</t>
    <rPh sb="0" eb="2">
      <t>ハダン</t>
    </rPh>
    <rPh sb="2" eb="4">
      <t>ゴウリョク</t>
    </rPh>
    <phoneticPr fontId="2"/>
  </si>
  <si>
    <t>曲げ応力</t>
    <rPh sb="0" eb="1">
      <t>マ</t>
    </rPh>
    <rPh sb="2" eb="4">
      <t>オウリョク</t>
    </rPh>
    <phoneticPr fontId="2"/>
  </si>
  <si>
    <t>最大曲げ応力(圧縮)</t>
    <rPh sb="0" eb="2">
      <t>サイダイ</t>
    </rPh>
    <rPh sb="2" eb="3">
      <t>マ</t>
    </rPh>
    <rPh sb="4" eb="6">
      <t>オウリョク</t>
    </rPh>
    <rPh sb="7" eb="9">
      <t>アッシュク</t>
    </rPh>
    <phoneticPr fontId="2"/>
  </si>
  <si>
    <t>比率</t>
    <rPh sb="0" eb="2">
      <t>ヒリツ</t>
    </rPh>
    <phoneticPr fontId="2"/>
  </si>
  <si>
    <t>mm^3</t>
  </si>
  <si>
    <t>mm^3</t>
    <phoneticPr fontId="2"/>
  </si>
  <si>
    <t>m^3</t>
    <phoneticPr fontId="2"/>
  </si>
  <si>
    <t>0番重量</t>
    <rPh sb="1" eb="2">
      <t>バン</t>
    </rPh>
    <rPh sb="2" eb="4">
      <t>ジュウリョウ</t>
    </rPh>
    <phoneticPr fontId="2"/>
  </si>
  <si>
    <t>1番重量</t>
    <rPh sb="1" eb="2">
      <t>バン</t>
    </rPh>
    <rPh sb="2" eb="4">
      <t>ジュウリョウ</t>
    </rPh>
    <phoneticPr fontId="2"/>
  </si>
  <si>
    <t>2番重量</t>
    <rPh sb="1" eb="2">
      <t>バン</t>
    </rPh>
    <rPh sb="2" eb="4">
      <t>ジュウリョウ</t>
    </rPh>
    <phoneticPr fontId="2"/>
  </si>
  <si>
    <t>3番重量</t>
    <rPh sb="1" eb="2">
      <t>バン</t>
    </rPh>
    <rPh sb="2" eb="4">
      <t>ジュウリョウ</t>
    </rPh>
    <phoneticPr fontId="2"/>
  </si>
  <si>
    <t>一次構造</t>
    <rPh sb="0" eb="2">
      <t>イチジ</t>
    </rPh>
    <rPh sb="2" eb="4">
      <t>コウゾウ</t>
    </rPh>
    <phoneticPr fontId="2"/>
  </si>
  <si>
    <t>二次構造</t>
    <rPh sb="0" eb="2">
      <t>ニジ</t>
    </rPh>
    <rPh sb="2" eb="4">
      <t>コウゾウ</t>
    </rPh>
    <phoneticPr fontId="2"/>
  </si>
  <si>
    <t>リブ</t>
    <phoneticPr fontId="2"/>
  </si>
  <si>
    <t>縦通材</t>
    <rPh sb="0" eb="3">
      <t>ジュウツウザイ</t>
    </rPh>
    <phoneticPr fontId="2"/>
  </si>
  <si>
    <t>リブ材</t>
    <rPh sb="2" eb="3">
      <t>ザイ</t>
    </rPh>
    <phoneticPr fontId="2"/>
  </si>
  <si>
    <t>後縁材</t>
    <rPh sb="0" eb="3">
      <t>コウエンザイ</t>
    </rPh>
    <phoneticPr fontId="2"/>
  </si>
  <si>
    <t>主翼二次構造</t>
    <rPh sb="0" eb="2">
      <t>シュヨク</t>
    </rPh>
    <rPh sb="2" eb="4">
      <t>ニジ</t>
    </rPh>
    <rPh sb="4" eb="6">
      <t>コウゾウ</t>
    </rPh>
    <phoneticPr fontId="2"/>
  </si>
  <si>
    <t>コード長1mに対して</t>
    <rPh sb="3" eb="4">
      <t>チョウ</t>
    </rPh>
    <rPh sb="7" eb="8">
      <t>タイ</t>
    </rPh>
    <phoneticPr fontId="2"/>
  </si>
  <si>
    <t>本数</t>
    <rPh sb="0" eb="2">
      <t>ホンスウ</t>
    </rPh>
    <phoneticPr fontId="2"/>
  </si>
  <si>
    <t>接着剤①</t>
    <rPh sb="0" eb="3">
      <t>セッチャクザイ</t>
    </rPh>
    <phoneticPr fontId="2"/>
  </si>
  <si>
    <t>リブ面積に比例するもの</t>
    <rPh sb="2" eb="4">
      <t>メンセキ</t>
    </rPh>
    <rPh sb="5" eb="7">
      <t>ヒレイ</t>
    </rPh>
    <phoneticPr fontId="2"/>
  </si>
  <si>
    <t>接着剤②</t>
    <rPh sb="0" eb="3">
      <t>セッチャクザイ</t>
    </rPh>
    <phoneticPr fontId="2"/>
  </si>
  <si>
    <t>コード長に比例するもの</t>
    <rPh sb="3" eb="4">
      <t>チョウ</t>
    </rPh>
    <rPh sb="5" eb="7">
      <t>ヒレイ</t>
    </rPh>
    <phoneticPr fontId="2"/>
  </si>
  <si>
    <t>接着剤③</t>
    <rPh sb="0" eb="3">
      <t>セッチャクザイ</t>
    </rPh>
    <phoneticPr fontId="2"/>
  </si>
  <si>
    <t>スパンに比例するもの</t>
    <rPh sb="4" eb="6">
      <t>ヒレイ</t>
    </rPh>
    <phoneticPr fontId="2"/>
  </si>
  <si>
    <t>主翼翼型１</t>
    <rPh sb="0" eb="4">
      <t>シュヨクヨクガタ</t>
    </rPh>
    <phoneticPr fontId="2"/>
  </si>
  <si>
    <t>主翼翼型２</t>
    <rPh sb="0" eb="4">
      <t>シュヨクヨクガタ</t>
    </rPh>
    <phoneticPr fontId="2"/>
  </si>
  <si>
    <t>ブレンドサークル。</t>
    <phoneticPr fontId="2"/>
  </si>
  <si>
    <t>3番端</t>
    <rPh sb="1" eb="2">
      <t>バン</t>
    </rPh>
    <rPh sb="2" eb="3">
      <t>タン</t>
    </rPh>
    <phoneticPr fontId="2"/>
  </si>
  <si>
    <t>端リブ</t>
  </si>
  <si>
    <t>half</t>
  </si>
  <si>
    <t>外形長軸</t>
    <rPh sb="0" eb="2">
      <t>ガイケイ</t>
    </rPh>
    <rPh sb="2" eb="4">
      <t>チョウジク</t>
    </rPh>
    <phoneticPr fontId="2"/>
  </si>
  <si>
    <t>翼型２配合</t>
    <rPh sb="0" eb="2">
      <t>ヨクガタ</t>
    </rPh>
    <rPh sb="3" eb="5">
      <t>ハイゴウ</t>
    </rPh>
    <phoneticPr fontId="2"/>
  </si>
  <si>
    <t>その他</t>
    <rPh sb="2" eb="3">
      <t>タ</t>
    </rPh>
    <phoneticPr fontId="2"/>
  </si>
  <si>
    <t>主翼翼型3</t>
    <rPh sb="0" eb="4">
      <t>シュヨクヨクガタ</t>
    </rPh>
    <phoneticPr fontId="2"/>
  </si>
  <si>
    <t>配合率</t>
    <rPh sb="0" eb="3">
      <t>ハイゴウリツ</t>
    </rPh>
    <phoneticPr fontId="2"/>
  </si>
  <si>
    <t>ウィングレット</t>
    <phoneticPr fontId="2"/>
  </si>
  <si>
    <t>主翼翼型２</t>
    <rPh sb="0" eb="2">
      <t>シュヨク</t>
    </rPh>
    <rPh sb="2" eb="4">
      <t>ヨクガタ</t>
    </rPh>
    <phoneticPr fontId="2"/>
  </si>
  <si>
    <t>主翼翼型4</t>
    <rPh sb="0" eb="4">
      <t>シュヨクヨクガタ</t>
    </rPh>
    <phoneticPr fontId="2"/>
  </si>
  <si>
    <t>主翼翼型5</t>
    <rPh sb="0" eb="4">
      <t>シュヨクヨクガタ</t>
    </rPh>
    <phoneticPr fontId="2"/>
  </si>
  <si>
    <t>主翼翼型３</t>
    <rPh sb="0" eb="4">
      <t>シュヨクヨクガタ</t>
    </rPh>
    <phoneticPr fontId="2"/>
  </si>
  <si>
    <t>主翼翼型４</t>
    <rPh sb="0" eb="4">
      <t>シュヨクヨクガタ</t>
    </rPh>
    <phoneticPr fontId="2"/>
  </si>
  <si>
    <t>主翼翼型５</t>
    <rPh sb="0" eb="4">
      <t>シュヨクヨクガタ</t>
    </rPh>
    <phoneticPr fontId="2"/>
  </si>
  <si>
    <t>主翼翼型1</t>
    <rPh sb="0" eb="4">
      <t>シュヨクヨクガタ</t>
    </rPh>
    <phoneticPr fontId="2"/>
  </si>
  <si>
    <t>主翼翼型2</t>
    <rPh sb="0" eb="4">
      <t>シュヨクヨクガタ</t>
    </rPh>
    <phoneticPr fontId="2"/>
  </si>
  <si>
    <t>翼素間隔</t>
    <rPh sb="0" eb="2">
      <t>ヨクソ</t>
    </rPh>
    <rPh sb="2" eb="4">
      <t>カンカク</t>
    </rPh>
    <phoneticPr fontId="2"/>
  </si>
  <si>
    <t>リブ番号</t>
    <rPh sb="2" eb="4">
      <t>バンゴウ</t>
    </rPh>
    <phoneticPr fontId="2"/>
  </si>
  <si>
    <t>接合部</t>
    <rPh sb="0" eb="3">
      <t>セツゴウブ</t>
    </rPh>
    <phoneticPr fontId="2"/>
  </si>
  <si>
    <t>端リブ</t>
    <rPh sb="0" eb="1">
      <t>ハシ</t>
    </rPh>
    <phoneticPr fontId="2"/>
  </si>
  <si>
    <t>端リブ厚さ</t>
    <rPh sb="0" eb="1">
      <t>ハシ</t>
    </rPh>
    <rPh sb="3" eb="4">
      <t>アツ</t>
    </rPh>
    <phoneticPr fontId="2"/>
  </si>
  <si>
    <t>接着剤④</t>
    <rPh sb="0" eb="3">
      <t>セッチャクザイ</t>
    </rPh>
    <phoneticPr fontId="2"/>
  </si>
  <si>
    <t>リブ一つにつき固定</t>
    <rPh sb="2" eb="3">
      <t>ヒト</t>
    </rPh>
    <rPh sb="7" eb="9">
      <t>コテイ</t>
    </rPh>
    <phoneticPr fontId="2"/>
  </si>
  <si>
    <t>ハーフリブ係数</t>
    <rPh sb="5" eb="7">
      <t>ケイスウ</t>
    </rPh>
    <phoneticPr fontId="2"/>
  </si>
  <si>
    <t>エスレン</t>
    <phoneticPr fontId="2"/>
  </si>
  <si>
    <t>翼根側ねじり止め</t>
    <rPh sb="0" eb="3">
      <t>ヨクコンガワ</t>
    </rPh>
    <rPh sb="6" eb="7">
      <t>ド</t>
    </rPh>
    <phoneticPr fontId="2"/>
  </si>
  <si>
    <t>翼端側ねじり止め</t>
    <rPh sb="0" eb="3">
      <t>ヨクタンガワ</t>
    </rPh>
    <rPh sb="6" eb="7">
      <t>ド</t>
    </rPh>
    <phoneticPr fontId="2"/>
  </si>
  <si>
    <t>ねじり止め重さ</t>
    <rPh sb="3" eb="4">
      <t>ド</t>
    </rPh>
    <rPh sb="5" eb="6">
      <t>オモ</t>
    </rPh>
    <phoneticPr fontId="2"/>
  </si>
  <si>
    <t>翼素数</t>
    <rPh sb="0" eb="2">
      <t>ヨクソ</t>
    </rPh>
    <rPh sb="2" eb="3">
      <t>スウ</t>
    </rPh>
    <phoneticPr fontId="2"/>
  </si>
  <si>
    <t>結果</t>
    <rPh sb="0" eb="2">
      <t>ケッカ</t>
    </rPh>
    <phoneticPr fontId="2"/>
  </si>
  <si>
    <t>０番</t>
    <rPh sb="1" eb="2">
      <t>バン</t>
    </rPh>
    <phoneticPr fontId="2"/>
  </si>
  <si>
    <t>推定値</t>
    <rPh sb="0" eb="3">
      <t>スイテイチ</t>
    </rPh>
    <phoneticPr fontId="2"/>
  </si>
  <si>
    <t>実測値R</t>
    <rPh sb="0" eb="3">
      <t>ジッソクチ</t>
    </rPh>
    <phoneticPr fontId="2"/>
  </si>
  <si>
    <t>実測値L</t>
    <rPh sb="0" eb="3">
      <t>ジッソクチ</t>
    </rPh>
    <phoneticPr fontId="2"/>
  </si>
  <si>
    <t>２番</t>
    <rPh sb="1" eb="2">
      <t>バン</t>
    </rPh>
    <phoneticPr fontId="2"/>
  </si>
  <si>
    <t>３番</t>
    <rPh sb="1" eb="2">
      <t>バン</t>
    </rPh>
    <phoneticPr fontId="2"/>
  </si>
  <si>
    <t>カーボンリブ肉抜きご重さ倍率</t>
    <rPh sb="6" eb="8">
      <t>ニクヌ</t>
    </rPh>
    <rPh sb="10" eb="11">
      <t>オモ</t>
    </rPh>
    <rPh sb="12" eb="14">
      <t>バイリツ</t>
    </rPh>
    <phoneticPr fontId="2"/>
  </si>
  <si>
    <t>倍</t>
    <rPh sb="0" eb="1">
      <t>バイ</t>
    </rPh>
    <phoneticPr fontId="2"/>
  </si>
  <si>
    <t>主翼の重心位置・慣性モーメント</t>
    <rPh sb="0" eb="2">
      <t>シュヨク</t>
    </rPh>
    <rPh sb="3" eb="5">
      <t>ジュウシン</t>
    </rPh>
    <rPh sb="5" eb="7">
      <t>イチ</t>
    </rPh>
    <rPh sb="8" eb="10">
      <t>カンセイ</t>
    </rPh>
    <phoneticPr fontId="2"/>
  </si>
  <si>
    <t>Xcg</t>
    <phoneticPr fontId="2"/>
  </si>
  <si>
    <t>Ycg</t>
    <phoneticPr fontId="2"/>
  </si>
  <si>
    <t>Zcg</t>
    <phoneticPr fontId="2"/>
  </si>
  <si>
    <t>Ixx</t>
    <phoneticPr fontId="2"/>
  </si>
  <si>
    <t>kg*m^2</t>
    <phoneticPr fontId="2"/>
  </si>
  <si>
    <t>Iyy</t>
    <phoneticPr fontId="2"/>
  </si>
  <si>
    <t>Izz</t>
    <phoneticPr fontId="2"/>
  </si>
  <si>
    <t>Ixy</t>
    <phoneticPr fontId="2"/>
  </si>
  <si>
    <t>kg・m^2</t>
    <phoneticPr fontId="2"/>
  </si>
  <si>
    <t>Iyz</t>
    <phoneticPr fontId="2"/>
  </si>
  <si>
    <t>Ixz</t>
    <phoneticPr fontId="2"/>
  </si>
  <si>
    <t>高さ</t>
    <rPh sb="0" eb="1">
      <t>タカ</t>
    </rPh>
    <phoneticPr fontId="2"/>
  </si>
  <si>
    <t>z軸桁径</t>
    <rPh sb="1" eb="2">
      <t>ジク</t>
    </rPh>
    <rPh sb="2" eb="3">
      <t>ケタ</t>
    </rPh>
    <rPh sb="3" eb="4">
      <t>ケイ</t>
    </rPh>
    <phoneticPr fontId="2"/>
  </si>
  <si>
    <t>翼厚マージン</t>
    <rPh sb="0" eb="2">
      <t>ヨクアツ</t>
    </rPh>
    <phoneticPr fontId="2"/>
  </si>
  <si>
    <t>必要揚力(巡航時)</t>
    <rPh sb="0" eb="4">
      <t>ヒツヨウヨウリョク</t>
    </rPh>
    <rPh sb="5" eb="8">
      <t>ジュンコウジ</t>
    </rPh>
    <phoneticPr fontId="2"/>
  </si>
  <si>
    <t>主翼重量</t>
    <rPh sb="0" eb="2">
      <t>シュヨク</t>
    </rPh>
    <rPh sb="2" eb="4">
      <t>ジュウリョウ</t>
    </rPh>
    <phoneticPr fontId="2"/>
  </si>
  <si>
    <t>リブ位置</t>
    <rPh sb="2" eb="4">
      <t>イチ</t>
    </rPh>
    <phoneticPr fontId="2"/>
  </si>
  <si>
    <t>コード長傾き</t>
    <rPh sb="3" eb="4">
      <t>チョウ</t>
    </rPh>
    <rPh sb="4" eb="5">
      <t>カタム</t>
    </rPh>
    <phoneticPr fontId="2"/>
  </si>
  <si>
    <t>deg/deg</t>
    <phoneticPr fontId="2"/>
  </si>
  <si>
    <t>主翼翼型1配合率</t>
    <rPh sb="0" eb="4">
      <t>シュヨクヨクガタ</t>
    </rPh>
    <rPh sb="5" eb="8">
      <t>ハイゴウリツ</t>
    </rPh>
    <phoneticPr fontId="2"/>
  </si>
  <si>
    <t>主翼翼型２配合率</t>
    <rPh sb="0" eb="2">
      <t>シュヨク</t>
    </rPh>
    <rPh sb="2" eb="3">
      <t>ヨク</t>
    </rPh>
    <rPh sb="3" eb="4">
      <t>ガタ</t>
    </rPh>
    <rPh sb="5" eb="7">
      <t>ハイゴウ</t>
    </rPh>
    <rPh sb="7" eb="8">
      <t>リツ</t>
    </rPh>
    <phoneticPr fontId="2"/>
  </si>
  <si>
    <t>主翼翼型３配合率</t>
    <rPh sb="0" eb="4">
      <t>シュヨクヨクガタ</t>
    </rPh>
    <rPh sb="5" eb="8">
      <t>ハイゴウリツ</t>
    </rPh>
    <phoneticPr fontId="2"/>
  </si>
  <si>
    <t>主翼翼型４配合率</t>
    <rPh sb="0" eb="4">
      <t>シュヨクヨクガタ</t>
    </rPh>
    <rPh sb="5" eb="8">
      <t>ハイゴウリツ</t>
    </rPh>
    <phoneticPr fontId="2"/>
  </si>
  <si>
    <t>主翼翼型5配合率</t>
    <rPh sb="0" eb="4">
      <t>シュヨクヨクガタ</t>
    </rPh>
    <rPh sb="5" eb="8">
      <t>ハイゴウリツ</t>
    </rPh>
    <phoneticPr fontId="2"/>
  </si>
  <si>
    <t>桁中心</t>
    <rPh sb="0" eb="3">
      <t>ケタチュウシン</t>
    </rPh>
    <phoneticPr fontId="2"/>
  </si>
  <si>
    <t>翼型1配合率</t>
    <rPh sb="0" eb="2">
      <t>ヨクガタ</t>
    </rPh>
    <rPh sb="3" eb="6">
      <t>ハイゴウリツ</t>
    </rPh>
    <phoneticPr fontId="2"/>
  </si>
  <si>
    <t>t</t>
  </si>
  <si>
    <t>mm/ply</t>
  </si>
  <si>
    <t>n</t>
  </si>
  <si>
    <t>model</t>
    <phoneticPr fontId="2"/>
  </si>
  <si>
    <t>intercept</t>
    <phoneticPr fontId="2"/>
  </si>
  <si>
    <t>alpha^1</t>
    <phoneticPr fontId="2"/>
  </si>
  <si>
    <t>alpha^2</t>
    <phoneticPr fontId="2"/>
  </si>
  <si>
    <t>alpha^3</t>
    <phoneticPr fontId="2"/>
  </si>
  <si>
    <t>alpha^4</t>
    <phoneticPr fontId="2"/>
  </si>
  <si>
    <t>alpha^5</t>
    <phoneticPr fontId="2"/>
  </si>
  <si>
    <t>alpha^6</t>
    <phoneticPr fontId="2"/>
  </si>
  <si>
    <t>alpha^7</t>
    <phoneticPr fontId="2"/>
  </si>
  <si>
    <t>alpha^8</t>
    <phoneticPr fontId="2"/>
  </si>
  <si>
    <t>alpha^9</t>
    <phoneticPr fontId="2"/>
  </si>
  <si>
    <t>alpha^10</t>
    <phoneticPr fontId="2"/>
  </si>
  <si>
    <t>logRe^1</t>
    <phoneticPr fontId="2"/>
  </si>
  <si>
    <t>logRe^2</t>
    <phoneticPr fontId="2"/>
  </si>
  <si>
    <t>logRe^3</t>
    <phoneticPr fontId="2"/>
  </si>
  <si>
    <t>alpha*logRe</t>
    <phoneticPr fontId="2"/>
  </si>
  <si>
    <t>alpha^2*logRe</t>
    <phoneticPr fontId="2"/>
  </si>
  <si>
    <t>初期上反角</t>
    <rPh sb="0" eb="2">
      <t>ショキ</t>
    </rPh>
    <phoneticPr fontId="2"/>
  </si>
  <si>
    <t>循環LLT</t>
    <rPh sb="0" eb="2">
      <t>ジュンカン</t>
    </rPh>
    <phoneticPr fontId="2"/>
  </si>
  <si>
    <t>QX0026 root.dat</t>
  </si>
  <si>
    <t>C:\Users\renya\OneDrive\デスクトップ\鳥人間\QX26設計\設計シート\QX26\Airfoil\QX0026 root.dat</t>
  </si>
  <si>
    <t>QX0026 v32 - コピー.dat</t>
  </si>
  <si>
    <t>C:\Users\renya\OneDrive\デスクトップ\鳥人間\QX26設計\設計シート\QX26\Airfoil\QX0026 v32 - コピー.dat</t>
  </si>
  <si>
    <t>QX0026 v42.dat</t>
  </si>
  <si>
    <t>C:\Users\renya\OneDrive\デスクトップ\鳥人間\QX26設計\設計シート\QX26\Airfoil\QX0026 v42.dat</t>
  </si>
  <si>
    <t>QX3026候補.dat</t>
  </si>
  <si>
    <t>C:\Users\renya\OneDrive\デスクトップ\鳥人間\QX26設計\設計シート\QX26\Airfoil\QX3026候補.dat</t>
  </si>
  <si>
    <t>LLT出力</t>
    <rPh sb="3" eb="5">
      <t>シュツリョク</t>
    </rPh>
    <phoneticPr fontId="2"/>
  </si>
  <si>
    <t>z</t>
    <phoneticPr fontId="2"/>
  </si>
  <si>
    <t>LLT等用</t>
    <rPh sb="3" eb="4">
      <t>ナド</t>
    </rPh>
    <rPh sb="4" eb="5">
      <t>ヨウ</t>
    </rPh>
    <phoneticPr fontId="2"/>
  </si>
  <si>
    <t>⚠️ Re=5.5e+05 のデータなし</t>
  </si>
  <si>
    <t>case1</t>
    <phoneticPr fontId="2"/>
  </si>
  <si>
    <t>case2</t>
    <phoneticPr fontId="2"/>
  </si>
  <si>
    <t>case3</t>
    <phoneticPr fontId="2"/>
  </si>
  <si>
    <t>垂直尾翼</t>
  </si>
  <si>
    <t>重量推定</t>
    <rPh sb="0" eb="4">
      <t>ジュウリョウスイテイ</t>
    </rPh>
    <phoneticPr fontId="2"/>
  </si>
  <si>
    <t>推定</t>
    <rPh sb="0" eb="2">
      <t>スイテイ</t>
    </rPh>
    <phoneticPr fontId="2"/>
  </si>
  <si>
    <t>測定値</t>
    <rPh sb="0" eb="3">
      <t>ソクテイチ</t>
    </rPh>
    <phoneticPr fontId="2"/>
  </si>
  <si>
    <t>胴体</t>
  </si>
  <si>
    <t>胴体</t>
    <rPh sb="0" eb="2">
      <t>ドウタイ</t>
    </rPh>
    <phoneticPr fontId="2"/>
  </si>
  <si>
    <t>0番翼</t>
    <rPh sb="2" eb="3">
      <t>ヨク</t>
    </rPh>
    <phoneticPr fontId="2"/>
  </si>
  <si>
    <t>脚乗り込みマウント</t>
    <rPh sb="0" eb="1">
      <t>アシ</t>
    </rPh>
    <rPh sb="1" eb="2">
      <t>ノ</t>
    </rPh>
    <rPh sb="3" eb="4">
      <t>コ</t>
    </rPh>
    <phoneticPr fontId="2"/>
  </si>
  <si>
    <t>胴接</t>
    <rPh sb="0" eb="2">
      <t>ドウセツ</t>
    </rPh>
    <phoneticPr fontId="2"/>
  </si>
  <si>
    <t>1番翼(右)</t>
    <rPh sb="2" eb="3">
      <t>ヨク</t>
    </rPh>
    <phoneticPr fontId="2"/>
  </si>
  <si>
    <t>1番翼(左)</t>
    <rPh sb="2" eb="3">
      <t>ヨク</t>
    </rPh>
    <phoneticPr fontId="2"/>
  </si>
  <si>
    <t>2番翼(右)</t>
    <phoneticPr fontId="2"/>
  </si>
  <si>
    <t>2番翼(左)</t>
    <phoneticPr fontId="2"/>
  </si>
  <si>
    <t>3番翼(右)</t>
    <phoneticPr fontId="2"/>
  </si>
  <si>
    <t>3番翼(左)</t>
    <phoneticPr fontId="2"/>
  </si>
  <si>
    <t>主翼ウイングレット L/R</t>
    <phoneticPr fontId="2"/>
  </si>
  <si>
    <t>主翼ウィングレット おもり</t>
    <phoneticPr fontId="2"/>
  </si>
  <si>
    <t>主翼蓋(窓)</t>
  </si>
  <si>
    <t>水平尾翼</t>
  </si>
  <si>
    <t>尾翼取付金具</t>
    <rPh sb="2" eb="4">
      <t>トリツケ</t>
    </rPh>
    <rPh sb="4" eb="6">
      <t>カナグ</t>
    </rPh>
    <phoneticPr fontId="2"/>
  </si>
  <si>
    <t>尾翼ウイングレット</t>
  </si>
  <si>
    <t>キャノピ</t>
  </si>
  <si>
    <t>フタ</t>
  </si>
  <si>
    <t>フィレット</t>
  </si>
  <si>
    <t>胴体フィレット</t>
  </si>
  <si>
    <t>電装</t>
  </si>
  <si>
    <t>脚モーター，リンク</t>
    <phoneticPr fontId="2"/>
  </si>
  <si>
    <t>脚本体（左右合わせて）</t>
    <rPh sb="1" eb="3">
      <t>ホンタイ</t>
    </rPh>
    <rPh sb="4" eb="6">
      <t>サユウ</t>
    </rPh>
    <rPh sb="6" eb="7">
      <t>ア</t>
    </rPh>
    <phoneticPr fontId="2"/>
  </si>
  <si>
    <t>リンクパーツ</t>
  </si>
  <si>
    <t>レバー</t>
  </si>
  <si>
    <t>その他</t>
  </si>
  <si>
    <t>のりこみその他</t>
  </si>
  <si>
    <t>オンボードカメラ＆ロガー</t>
  </si>
  <si>
    <t>合計</t>
  </si>
  <si>
    <t>すべて含めて大体推定値+1kg</t>
    <rPh sb="3" eb="4">
      <t>フク</t>
    </rPh>
    <rPh sb="6" eb="8">
      <t>ダイタイ</t>
    </rPh>
    <rPh sb="8" eb="11">
      <t>スイテイチ</t>
    </rPh>
    <phoneticPr fontId="2"/>
  </si>
  <si>
    <t>実測を０番翼に書いてる。あんま大きくは変わらないんじゃない？</t>
    <rPh sb="0" eb="2">
      <t>ジッソク</t>
    </rPh>
    <rPh sb="4" eb="5">
      <t>バン</t>
    </rPh>
    <rPh sb="5" eb="6">
      <t>ヨク</t>
    </rPh>
    <rPh sb="7" eb="8">
      <t>カ</t>
    </rPh>
    <rPh sb="15" eb="16">
      <t>オオ</t>
    </rPh>
    <rPh sb="19" eb="20">
      <t>カ</t>
    </rPh>
    <phoneticPr fontId="2"/>
  </si>
  <si>
    <t>全重心位置</t>
    <rPh sb="0" eb="3">
      <t>ゼンジュウシン</t>
    </rPh>
    <rPh sb="3" eb="5">
      <t>イチ</t>
    </rPh>
    <phoneticPr fontId="2"/>
  </si>
  <si>
    <t>全機重心位置・慣性モーメント</t>
    <rPh sb="0" eb="2">
      <t>ゼンキ</t>
    </rPh>
    <rPh sb="2" eb="4">
      <t>ジュウシン</t>
    </rPh>
    <rPh sb="4" eb="6">
      <t>イチ</t>
    </rPh>
    <rPh sb="7" eb="9">
      <t>カンセイ</t>
    </rPh>
    <phoneticPr fontId="2"/>
  </si>
  <si>
    <t>パイロット+その他</t>
    <rPh sb="8" eb="9">
      <t>ホカ</t>
    </rPh>
    <phoneticPr fontId="2"/>
  </si>
  <si>
    <t>重心距離</t>
    <rPh sb="0" eb="2">
      <t>ジュウシン</t>
    </rPh>
    <rPh sb="2" eb="4">
      <t>キョリ</t>
    </rPh>
    <phoneticPr fontId="2"/>
  </si>
  <si>
    <t>ΔXcg</t>
    <phoneticPr fontId="2"/>
  </si>
  <si>
    <t>Δycg</t>
    <phoneticPr fontId="2"/>
  </si>
  <si>
    <t>ΔZcg</t>
    <phoneticPr fontId="2"/>
  </si>
  <si>
    <t>機体後方が正</t>
    <rPh sb="0" eb="2">
      <t>キタイ</t>
    </rPh>
    <rPh sb="2" eb="4">
      <t>コウホウ</t>
    </rPh>
    <rPh sb="5" eb="6">
      <t>セイ</t>
    </rPh>
    <phoneticPr fontId="2"/>
  </si>
  <si>
    <t>機体上方が正</t>
    <rPh sb="0" eb="2">
      <t>キタイ</t>
    </rPh>
    <rPh sb="2" eb="4">
      <t>ジョウホウ</t>
    </rPh>
    <rPh sb="5" eb="6">
      <t>セイ</t>
    </rPh>
    <phoneticPr fontId="2"/>
  </si>
  <si>
    <t>NACA 0009.dat</t>
  </si>
  <si>
    <t>C:\Users\renya\OneDrive\デスクトップ\鳥人間\QX26設計\設計シート\QX26\Airfoil\NACA 0009.dat</t>
  </si>
  <si>
    <t>NACA 0012.dat</t>
  </si>
  <si>
    <t>C:\Users\renya\OneDrive\デスクトップ\鳥人間\QX26設計\設計シート\QX26\Airfoil\NACA 0012.dat</t>
  </si>
  <si>
    <t>Clα</t>
    <phoneticPr fontId="2"/>
  </si>
  <si>
    <t>Cd0α</t>
    <phoneticPr fontId="2"/>
  </si>
  <si>
    <t>Cmα</t>
    <phoneticPr fontId="2"/>
  </si>
  <si>
    <t>Clα</t>
  </si>
  <si>
    <t>Cd0α</t>
  </si>
  <si>
    <t>水平尾翼諸元</t>
    <rPh sb="0" eb="2">
      <t>スイヘイ</t>
    </rPh>
    <rPh sb="2" eb="4">
      <t>ビヨク</t>
    </rPh>
    <rPh sb="4" eb="6">
      <t>ショゲン</t>
    </rPh>
    <phoneticPr fontId="2"/>
  </si>
  <si>
    <t>翼面積</t>
    <rPh sb="0" eb="1">
      <t>ヨク</t>
    </rPh>
    <rPh sb="1" eb="3">
      <t>メンセキ</t>
    </rPh>
    <phoneticPr fontId="2"/>
  </si>
  <si>
    <t>翼幅</t>
    <rPh sb="0" eb="1">
      <t>ヨク</t>
    </rPh>
    <rPh sb="1" eb="2">
      <t>ハバ</t>
    </rPh>
    <phoneticPr fontId="2"/>
  </si>
  <si>
    <t>平均空力翼弦長</t>
    <rPh sb="0" eb="6">
      <t>ヘイキンクウリキヨクゲン</t>
    </rPh>
    <rPh sb="6" eb="7">
      <t>チョウ</t>
    </rPh>
    <phoneticPr fontId="2"/>
  </si>
  <si>
    <t>cMAC</t>
    <phoneticPr fontId="2"/>
  </si>
  <si>
    <t>片翼面積重心</t>
    <rPh sb="0" eb="2">
      <t>カタヨク</t>
    </rPh>
    <rPh sb="2" eb="4">
      <t>メンセキ</t>
    </rPh>
    <rPh sb="4" eb="6">
      <t>ジュウシン</t>
    </rPh>
    <phoneticPr fontId="2"/>
  </si>
  <si>
    <t>y_</t>
    <phoneticPr fontId="2"/>
  </si>
  <si>
    <t>空力中心</t>
    <rPh sb="0" eb="2">
      <t>クウリキ</t>
    </rPh>
    <rPh sb="2" eb="4">
      <t>チュウシン</t>
    </rPh>
    <phoneticPr fontId="2"/>
  </si>
  <si>
    <t>hac</t>
    <phoneticPr fontId="2"/>
  </si>
  <si>
    <t>主翼二次元揚力傾斜</t>
    <rPh sb="0" eb="2">
      <t>シュヨク</t>
    </rPh>
    <rPh sb="2" eb="3">
      <t>ニ</t>
    </rPh>
    <rPh sb="3" eb="5">
      <t>ジゲン</t>
    </rPh>
    <rPh sb="5" eb="7">
      <t>ヨウリョク</t>
    </rPh>
    <rPh sb="7" eb="9">
      <t>ケイシャ</t>
    </rPh>
    <phoneticPr fontId="2"/>
  </si>
  <si>
    <t>1/deg</t>
    <phoneticPr fontId="2"/>
  </si>
  <si>
    <t>主翼三次元揚力傾斜</t>
    <rPh sb="0" eb="2">
      <t>シュヨク</t>
    </rPh>
    <rPh sb="2" eb="3">
      <t>サン</t>
    </rPh>
    <rPh sb="3" eb="5">
      <t>ジゲン</t>
    </rPh>
    <rPh sb="5" eb="7">
      <t>ヨウリョク</t>
    </rPh>
    <rPh sb="7" eb="9">
      <t>ケイシャ</t>
    </rPh>
    <phoneticPr fontId="2"/>
  </si>
  <si>
    <t>aw</t>
    <phoneticPr fontId="2"/>
  </si>
  <si>
    <t>揚力係数</t>
    <rPh sb="0" eb="2">
      <t>ヨウリョク</t>
    </rPh>
    <rPh sb="2" eb="4">
      <t>ケイスウ</t>
    </rPh>
    <phoneticPr fontId="2"/>
  </si>
  <si>
    <t>抗力係数</t>
    <rPh sb="0" eb="2">
      <t>コウリョク</t>
    </rPh>
    <rPh sb="2" eb="4">
      <t>ケイスウ</t>
    </rPh>
    <phoneticPr fontId="2"/>
  </si>
  <si>
    <t>CD</t>
    <phoneticPr fontId="2"/>
  </si>
  <si>
    <t>ピッチングモーメント係数</t>
    <rPh sb="10" eb="12">
      <t>ケイスウ</t>
    </rPh>
    <phoneticPr fontId="2"/>
  </si>
  <si>
    <t>平均誘導迎え角</t>
    <rPh sb="0" eb="2">
      <t>ヘイキン</t>
    </rPh>
    <rPh sb="2" eb="4">
      <t>ユウドウ</t>
    </rPh>
    <rPh sb="4" eb="5">
      <t>ムカ</t>
    </rPh>
    <rPh sb="6" eb="7">
      <t>カク</t>
    </rPh>
    <phoneticPr fontId="2"/>
  </si>
  <si>
    <t>αi_</t>
    <phoneticPr fontId="2"/>
  </si>
  <si>
    <t>i</t>
    <phoneticPr fontId="2"/>
  </si>
  <si>
    <t>全機cg-水平ac間距離</t>
    <rPh sb="0" eb="2">
      <t>ゼンキ</t>
    </rPh>
    <rPh sb="5" eb="7">
      <t>スイヘイ</t>
    </rPh>
    <rPh sb="9" eb="10">
      <t>カン</t>
    </rPh>
    <rPh sb="10" eb="12">
      <t>キョリ</t>
    </rPh>
    <phoneticPr fontId="2"/>
  </si>
  <si>
    <t>全機ac-水平ac間距離</t>
    <rPh sb="0" eb="2">
      <t>ゼンキ</t>
    </rPh>
    <rPh sb="5" eb="7">
      <t>スイヘイ</t>
    </rPh>
    <rPh sb="9" eb="10">
      <t>カン</t>
    </rPh>
    <rPh sb="10" eb="12">
      <t>キョリ</t>
    </rPh>
    <phoneticPr fontId="2"/>
  </si>
  <si>
    <t>lt'</t>
    <phoneticPr fontId="2"/>
  </si>
  <si>
    <t>全機cg－垂直ac間距離</t>
    <rPh sb="0" eb="2">
      <t>ゼンキ</t>
    </rPh>
    <rPh sb="5" eb="7">
      <t>スイチョク</t>
    </rPh>
    <rPh sb="9" eb="10">
      <t>カン</t>
    </rPh>
    <rPh sb="10" eb="12">
      <t>キョリ</t>
    </rPh>
    <phoneticPr fontId="2"/>
  </si>
  <si>
    <t>lf</t>
    <phoneticPr fontId="2"/>
  </si>
  <si>
    <t>垂直尾翼下端位置</t>
    <rPh sb="0" eb="2">
      <t>スイチョク</t>
    </rPh>
    <rPh sb="2" eb="4">
      <t>ビヨク</t>
    </rPh>
    <rPh sb="4" eb="6">
      <t>カタン</t>
    </rPh>
    <rPh sb="6" eb="8">
      <t>イチ</t>
    </rPh>
    <phoneticPr fontId="2"/>
  </si>
  <si>
    <t>zf</t>
    <phoneticPr fontId="2"/>
  </si>
  <si>
    <t>垂直尾翼面積重心</t>
    <rPh sb="0" eb="2">
      <t>スイチョク</t>
    </rPh>
    <rPh sb="2" eb="4">
      <t>ビヨク</t>
    </rPh>
    <rPh sb="4" eb="6">
      <t>メンセキ</t>
    </rPh>
    <rPh sb="6" eb="8">
      <t>ジュウシン</t>
    </rPh>
    <phoneticPr fontId="2"/>
  </si>
  <si>
    <t>水平尾翼</t>
    <rPh sb="0" eb="4">
      <t>スイヘイビヨク</t>
    </rPh>
    <phoneticPr fontId="2"/>
  </si>
  <si>
    <t>翼根コード長</t>
    <rPh sb="0" eb="2">
      <t>ヨクコン</t>
    </rPh>
    <rPh sb="5" eb="6">
      <t>チョウ</t>
    </rPh>
    <phoneticPr fontId="2"/>
  </si>
  <si>
    <t>翼端コード長</t>
    <rPh sb="0" eb="2">
      <t>ヨクタン</t>
    </rPh>
    <rPh sb="5" eb="6">
      <t>チョウ</t>
    </rPh>
    <phoneticPr fontId="2"/>
  </si>
  <si>
    <t>スパン（片翼）</t>
    <rPh sb="4" eb="6">
      <t>カタヨク</t>
    </rPh>
    <phoneticPr fontId="2"/>
  </si>
  <si>
    <t>翼面積</t>
    <rPh sb="0" eb="3">
      <t>ヨクメンセキ</t>
    </rPh>
    <phoneticPr fontId="2"/>
  </si>
  <si>
    <t>尾翼容積</t>
    <rPh sb="0" eb="2">
      <t>ビヨク</t>
    </rPh>
    <rPh sb="2" eb="4">
      <t>ヨウセキ</t>
    </rPh>
    <phoneticPr fontId="2"/>
  </si>
  <si>
    <t>水平尾翼容積</t>
    <rPh sb="0" eb="2">
      <t>スイヘイ</t>
    </rPh>
    <rPh sb="2" eb="4">
      <t>ビヨク</t>
    </rPh>
    <rPh sb="4" eb="6">
      <t>ヨウセキ</t>
    </rPh>
    <phoneticPr fontId="2"/>
  </si>
  <si>
    <t>垂直尾翼容積</t>
    <rPh sb="0" eb="4">
      <t>スイチョクビヨク</t>
    </rPh>
    <rPh sb="4" eb="6">
      <t>ヨウセキ</t>
    </rPh>
    <phoneticPr fontId="2"/>
  </si>
  <si>
    <t>計</t>
    <rPh sb="0" eb="1">
      <t>ケイ</t>
    </rPh>
    <phoneticPr fontId="2"/>
  </si>
  <si>
    <t>L/D</t>
    <phoneticPr fontId="2"/>
  </si>
  <si>
    <t>取り付け角傾き</t>
    <rPh sb="0" eb="1">
      <t>ト</t>
    </rPh>
    <rPh sb="2" eb="3">
      <t>ツ</t>
    </rPh>
    <rPh sb="4" eb="5">
      <t>カク</t>
    </rPh>
    <rPh sb="5" eb="6">
      <t>カタム</t>
    </rPh>
    <phoneticPr fontId="2"/>
  </si>
  <si>
    <t>case2</t>
  </si>
  <si>
    <t>case3</t>
  </si>
  <si>
    <t>case4</t>
  </si>
  <si>
    <t>case4</t>
    <phoneticPr fontId="2"/>
  </si>
  <si>
    <t>解析用</t>
    <rPh sb="0" eb="3">
      <t>カイセキヨウ</t>
    </rPh>
    <phoneticPr fontId="2"/>
  </si>
  <si>
    <t>保存用</t>
    <rPh sb="0" eb="3">
      <t>ホゾンヨウ</t>
    </rPh>
    <phoneticPr fontId="2"/>
  </si>
  <si>
    <t>主翼翼型1</t>
  </si>
  <si>
    <t>主翼翼型2</t>
  </si>
  <si>
    <t>主翼翼型3</t>
  </si>
  <si>
    <t>case5</t>
  </si>
  <si>
    <t>case5</t>
    <phoneticPr fontId="2"/>
  </si>
  <si>
    <t>case6</t>
  </si>
  <si>
    <t>case6</t>
    <phoneticPr fontId="2"/>
  </si>
  <si>
    <t>case7</t>
  </si>
  <si>
    <t>case7</t>
    <phoneticPr fontId="2"/>
  </si>
  <si>
    <t>case8</t>
  </si>
  <si>
    <t>case8</t>
    <phoneticPr fontId="2"/>
  </si>
  <si>
    <t>解析case</t>
    <rPh sb="0" eb="2">
      <t>カイセキ</t>
    </rPh>
    <phoneticPr fontId="2"/>
  </si>
  <si>
    <t>誤差は推定値の計算にも使っていて、循環参照になってしまうから、推定値と実測値が同じになるように自分で入れて</t>
    <rPh sb="0" eb="2">
      <t>ゴサ</t>
    </rPh>
    <rPh sb="3" eb="6">
      <t>スイテイチ</t>
    </rPh>
    <rPh sb="7" eb="9">
      <t>ケイサン</t>
    </rPh>
    <rPh sb="11" eb="12">
      <t>ツカ</t>
    </rPh>
    <rPh sb="17" eb="19">
      <t>ジュンカン</t>
    </rPh>
    <rPh sb="19" eb="21">
      <t>サンショウ</t>
    </rPh>
    <rPh sb="31" eb="34">
      <t>スイテイチ</t>
    </rPh>
    <rPh sb="35" eb="38">
      <t>ジッソクチ</t>
    </rPh>
    <rPh sb="39" eb="40">
      <t>オナ</t>
    </rPh>
    <rPh sb="47" eb="49">
      <t>ジブン</t>
    </rPh>
    <rPh sb="50" eb="51">
      <t>イ</t>
    </rPh>
    <phoneticPr fontId="2"/>
  </si>
  <si>
    <t>設計時の誤差は昨年を参考に書いとけばいいんじゃね。</t>
    <rPh sb="0" eb="3">
      <t>セッケイジ</t>
    </rPh>
    <rPh sb="4" eb="6">
      <t>ゴサ</t>
    </rPh>
    <rPh sb="7" eb="9">
      <t>サクネン</t>
    </rPh>
    <rPh sb="10" eb="12">
      <t>サンコウ</t>
    </rPh>
    <rPh sb="13" eb="14">
      <t>カ</t>
    </rPh>
    <phoneticPr fontId="2"/>
  </si>
  <si>
    <t>誤差計算値</t>
    <rPh sb="0" eb="2">
      <t>ゴサ</t>
    </rPh>
    <rPh sb="2" eb="4">
      <t>ケイサン</t>
    </rPh>
    <rPh sb="4" eb="5">
      <t>チ</t>
    </rPh>
    <phoneticPr fontId="2"/>
  </si>
  <si>
    <t>桁位置</t>
    <rPh sb="0" eb="3">
      <t>ケタイチ</t>
    </rPh>
    <phoneticPr fontId="2"/>
  </si>
  <si>
    <t>消すなよ</t>
    <rPh sb="0" eb="1">
      <t>ケ</t>
    </rPh>
    <phoneticPr fontId="2"/>
  </si>
  <si>
    <t>曲げモーメントの制約</t>
    <rPh sb="0" eb="1">
      <t>マ</t>
    </rPh>
    <rPh sb="8" eb="10">
      <t>セイヤク</t>
    </rPh>
    <phoneticPr fontId="2"/>
  </si>
  <si>
    <t>比較Clmax</t>
    <rPh sb="0" eb="2">
      <t>ヒカク</t>
    </rPh>
    <phoneticPr fontId="2"/>
  </si>
  <si>
    <t>D(ほぼ誘導抗力だとすると)</t>
    <rPh sb="4" eb="8">
      <t>ユウドウコウリョク</t>
    </rPh>
    <phoneticPr fontId="2"/>
  </si>
  <si>
    <t>実際はDpとかほかのカウルとか尾翼とかの抗力も合わさって、この半分以下だとおもう。</t>
    <rPh sb="0" eb="2">
      <t>ジッサイ</t>
    </rPh>
    <rPh sb="15" eb="17">
      <t>ビヨク</t>
    </rPh>
    <rPh sb="20" eb="22">
      <t>コウリョク</t>
    </rPh>
    <rPh sb="23" eb="24">
      <t>ア</t>
    </rPh>
    <rPh sb="31" eb="33">
      <t>ハンブン</t>
    </rPh>
    <rPh sb="33" eb="35">
      <t>イカ</t>
    </rPh>
    <phoneticPr fontId="2"/>
  </si>
  <si>
    <t>１番</t>
    <rPh sb="1" eb="2">
      <t>バン</t>
    </rPh>
    <phoneticPr fontId="2"/>
  </si>
  <si>
    <t>リブ付け長さ</t>
    <rPh sb="2" eb="3">
      <t>ヅ</t>
    </rPh>
    <rPh sb="4" eb="5">
      <t>ナガ</t>
    </rPh>
    <phoneticPr fontId="2"/>
  </si>
  <si>
    <t>リブ付けスパン</t>
    <rPh sb="2" eb="3">
      <t>ヅ</t>
    </rPh>
    <phoneticPr fontId="2"/>
  </si>
  <si>
    <t>全機迎角</t>
    <rPh sb="0" eb="4">
      <t>ゼンキゲイカク</t>
    </rPh>
    <phoneticPr fontId="2"/>
  </si>
  <si>
    <t>誘導抗力が支配的だけど、ほぼ誘導抗力はうそ</t>
    <rPh sb="0" eb="2">
      <t>ユウドウ</t>
    </rPh>
    <rPh sb="2" eb="4">
      <t>コウリョク</t>
    </rPh>
    <rPh sb="5" eb="8">
      <t>シハイテキ</t>
    </rPh>
    <rPh sb="14" eb="18">
      <t>ユウドウコウリョク</t>
    </rPh>
    <phoneticPr fontId="2"/>
  </si>
  <si>
    <t>ピッチングモーメント</t>
    <phoneticPr fontId="2"/>
  </si>
  <si>
    <t>M_ac</t>
    <phoneticPr fontId="2"/>
  </si>
  <si>
    <t>M_cg</t>
    <phoneticPr fontId="2"/>
  </si>
  <si>
    <t>Cdp</t>
    <phoneticPr fontId="1"/>
  </si>
  <si>
    <t>誘導迎角</t>
    <rPh sb="0" eb="4">
      <t>ユウドウゲイカク</t>
    </rPh>
    <phoneticPr fontId="1"/>
  </si>
  <si>
    <t>ai</t>
    <phoneticPr fontId="1"/>
  </si>
  <si>
    <t>Cdpα</t>
    <phoneticPr fontId="1"/>
  </si>
  <si>
    <t>スパー位置変形後</t>
    <rPh sb="3" eb="5">
      <t>イチ</t>
    </rPh>
    <rPh sb="5" eb="8">
      <t>ヘンケイゴ</t>
    </rPh>
    <phoneticPr fontId="2"/>
  </si>
  <si>
    <t>QX0026 thickness=13.65.dat</t>
  </si>
  <si>
    <t>C:\Users\renya\OneDrive\デスクトップ\鳥人間\QX26設計\設計シート\QX26\Airfoil\QX0026 thickness=13.65.dat</t>
  </si>
  <si>
    <t>主翼翼型3</t>
    <rPh sb="0" eb="2">
      <t>シュヨク</t>
    </rPh>
    <rPh sb="2" eb="4">
      <t>ヨクガタ</t>
    </rPh>
    <phoneticPr fontId="2"/>
  </si>
  <si>
    <t>QX0126.dat</t>
  </si>
  <si>
    <t>C:\Users\renya\OneDrive\デスクトップ\鳥人間\QX26設計\設計シート\QX26\Airfoil\QX0126.dat</t>
  </si>
  <si>
    <t>D</t>
    <phoneticPr fontId="2"/>
  </si>
  <si>
    <t>抗力</t>
    <rPh sb="0" eb="2">
      <t>コウリョク</t>
    </rPh>
    <phoneticPr fontId="2"/>
  </si>
  <si>
    <t>QX0026  thickness=14.08.dat</t>
  </si>
  <si>
    <t>C:\Users\renya\OneDrive\デスクトップ\鳥人間\QX26設計\設計シート\QX26\Airfoil\QX0026  thickness=14.08.dat</t>
  </si>
  <si>
    <t>QX0226.dat</t>
  </si>
  <si>
    <t>C:\Users\renya\OneDrive\デスクトップ\鳥人間\QX26設計\設計シート\QX26\Airfoil\QX0226.dat</t>
  </si>
  <si>
    <t>座標点数そろえてね</t>
    <rPh sb="0" eb="2">
      <t>ザヒョウ</t>
    </rPh>
    <rPh sb="2" eb="4">
      <t>テンスウ</t>
    </rPh>
    <phoneticPr fontId="2"/>
  </si>
  <si>
    <t>後縁の開き具合もそろえてね</t>
    <rPh sb="0" eb="2">
      <t>コウエン</t>
    </rPh>
    <rPh sb="3" eb="4">
      <t>ヒラ</t>
    </rPh>
    <rPh sb="5" eb="7">
      <t>グアイ</t>
    </rPh>
    <phoneticPr fontId="2"/>
  </si>
  <si>
    <t>後縁の開き具合も合わせてね。</t>
    <rPh sb="0" eb="2">
      <t>コウエン</t>
    </rPh>
    <rPh sb="3" eb="4">
      <t>ヒラ</t>
    </rPh>
    <rPh sb="5" eb="7">
      <t>グアイ</t>
    </rPh>
    <rPh sb="8" eb="9">
      <t>ア</t>
    </rPh>
    <phoneticPr fontId="2"/>
  </si>
  <si>
    <t>翼厚あげて翼面積を減らすことでDp抑えるのか</t>
    <rPh sb="0" eb="2">
      <t>ヨクアツ</t>
    </rPh>
    <rPh sb="5" eb="8">
      <t>ヨクメンセキ</t>
    </rPh>
    <rPh sb="9" eb="10">
      <t>ヘ</t>
    </rPh>
    <rPh sb="17" eb="18">
      <t>オサ</t>
    </rPh>
    <phoneticPr fontId="2"/>
  </si>
  <si>
    <t>翼厚を下げてCdpを下げることでDpを減らすのかどちらがいいのだろうか。</t>
    <rPh sb="0" eb="2">
      <t>ヨクアツ</t>
    </rPh>
    <rPh sb="3" eb="4">
      <t>サ</t>
    </rPh>
    <rPh sb="10" eb="11">
      <t>サ</t>
    </rPh>
    <rPh sb="19" eb="20">
      <t>ヘ</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</si>
</sst>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76" formatCode="0.000_ ;[Red]\-0.000\ "/>
    <numFmt numFmtId="177" formatCode="0_ ;[Red]\-0\ "/>
    <numFmt numFmtId="178" formatCode="0.000_ "/>
    <numFmt numFmtId="179" formatCode="0.0_);[Red]\(0.0\)"/>
    <numFmt numFmtId="180" formatCode="0.0.E+00"/>
    <numFmt numFmtId="181" formatCode="0.000E+00"/>
    <numFmt numFmtId="182" formatCode="0.00_ "/>
    <numFmt numFmtId="183" formatCode="0.000_);[Red]\(0.000\)"/>
    <numFmt numFmtId="184" formatCode="0.00000000000_ "/>
    <numFmt numFmtId="185" formatCode="0.0000000_);[Red]\(0.0000000\)"/>
  </numFmts>
  <fonts count="26">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11"/>
      <color theme="1"/>
      <name val="游ゴシック"/>
      <family val="3"/>
      <charset val="128"/>
      <scheme val="minor"/>
    </font>
    <font>
      <sz val="6"/>
      <name val="游ゴシック"/>
      <family val="3"/>
      <charset val="128"/>
      <scheme val="minor"/>
    </font>
    <font>
      <sz val="9"/>
      <color indexed="81"/>
      <name val="宋体"/>
      <charset val="128"/>
    </font>
    <font>
      <b/>
      <sz val="9"/>
      <color indexed="81"/>
      <name val="MS P ゴシック"/>
      <family val="3"/>
      <charset val="128"/>
    </font>
    <font>
      <sz val="9"/>
      <color indexed="81"/>
      <name val="MS P ゴシック"/>
      <family val="3"/>
      <charset val="128"/>
    </font>
    <font>
      <sz val="11"/>
      <color theme="0"/>
      <name val="游ゴシック"/>
      <family val="2"/>
      <charset val="128"/>
      <scheme val="minor"/>
    </font>
    <font>
      <b/>
      <sz val="10"/>
      <color rgb="FF000000"/>
      <name val="Yu Gothic UI"/>
      <family val="3"/>
      <charset val="128"/>
    </font>
    <font>
      <sz val="10"/>
      <color rgb="FF000000"/>
      <name val="Yu Gothic UI"/>
      <family val="3"/>
      <charset val="128"/>
    </font>
    <font>
      <u/>
      <sz val="12"/>
      <color theme="10"/>
      <name val="游ゴシック"/>
      <family val="2"/>
      <charset val="128"/>
      <scheme val="minor"/>
    </font>
    <font>
      <sz val="12"/>
      <name val="游ゴシック"/>
      <family val="2"/>
      <charset val="128"/>
      <scheme val="minor"/>
    </font>
    <font>
      <u/>
      <sz val="12"/>
      <color theme="10"/>
      <name val="游ゴシック"/>
      <family val="3"/>
      <charset val="128"/>
      <scheme val="minor"/>
    </font>
    <font>
      <sz val="12"/>
      <color theme="10"/>
      <name val="游ゴシック"/>
      <family val="3"/>
      <charset val="128"/>
      <scheme val="minor"/>
    </font>
    <font>
      <sz val="12"/>
      <name val="游ゴシック"/>
      <family val="3"/>
      <charset val="128"/>
      <scheme val="minor"/>
    </font>
    <font>
      <sz val="12"/>
      <color theme="1"/>
      <name val="游ゴシック"/>
      <family val="2"/>
      <charset val="128"/>
      <scheme val="minor"/>
    </font>
    <font>
      <sz val="12"/>
      <color theme="1"/>
      <name val="游ゴシック"/>
      <family val="3"/>
      <charset val="128"/>
      <scheme val="minor"/>
    </font>
    <font>
      <b/>
      <sz val="12"/>
      <color theme="1"/>
      <name val="游ゴシック"/>
      <family val="3"/>
      <charset val="128"/>
      <scheme val="minor"/>
    </font>
    <font>
      <b/>
      <u/>
      <sz val="12"/>
      <color theme="1"/>
      <name val="游ゴシック"/>
      <family val="3"/>
      <charset val="128"/>
      <scheme val="minor"/>
    </font>
    <font>
      <b/>
      <sz val="9"/>
      <color indexed="81"/>
      <name val="ＭＳ Ｐゴシック"/>
      <family val="3"/>
      <charset val="128"/>
    </font>
    <font>
      <b/>
      <sz val="9"/>
      <color indexed="81"/>
      <name val="Tahoma"/>
      <family val="2"/>
    </font>
    <font>
      <sz val="9"/>
      <color indexed="81"/>
      <name val="Tahoma"/>
      <family val="2"/>
    </font>
    <font>
      <sz val="9"/>
      <color indexed="81"/>
      <name val="ＭＳ Ｐゴシック"/>
      <family val="3"/>
      <charset val="128"/>
    </font>
    <font>
      <sz val="11"/>
      <color rgb="FFFF0000"/>
      <name val="游ゴシック"/>
      <family val="2"/>
      <charset val="128"/>
      <scheme val="minor"/>
    </font>
    <font>
      <sz val="11"/>
      <color rgb="FF000000"/>
      <name val="游ゴシック"/>
      <family val="3"/>
      <charset val="128"/>
    </font>
  </fonts>
  <fills count="13">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89999084444715716"/>
        <bgColor indexed="64"/>
      </patternFill>
    </fill>
    <fill>
      <patternFill patternType="solid">
        <fgColor theme="6" tint="0.79998168889431442"/>
        <bgColor indexed="64"/>
      </patternFill>
    </fill>
    <fill>
      <patternFill patternType="solid">
        <fgColor theme="1"/>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thin">
        <color indexed="64"/>
      </left>
      <right style="double">
        <color indexed="64"/>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thin">
        <color indexed="64"/>
      </top>
      <bottom style="double">
        <color indexed="64"/>
      </bottom>
      <diagonal/>
    </border>
    <border>
      <left style="thin">
        <color indexed="64"/>
      </left>
      <right/>
      <top/>
      <bottom style="thin">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double">
        <color indexed="64"/>
      </left>
      <right style="double">
        <color indexed="64"/>
      </right>
      <top style="thin">
        <color indexed="64"/>
      </top>
      <bottom style="double">
        <color indexed="64"/>
      </bottom>
      <diagonal/>
    </border>
    <border>
      <left/>
      <right style="thin">
        <color indexed="64"/>
      </right>
      <top/>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double">
        <color indexed="64"/>
      </right>
      <top/>
      <bottom style="thin">
        <color indexed="64"/>
      </bottom>
      <diagonal/>
    </border>
    <border>
      <left/>
      <right style="double">
        <color indexed="64"/>
      </right>
      <top style="thin">
        <color indexed="64"/>
      </top>
      <bottom style="double">
        <color indexed="64"/>
      </bottom>
      <diagonal/>
    </border>
    <border>
      <left style="thin">
        <color indexed="64"/>
      </left>
      <right style="double">
        <color indexed="64"/>
      </right>
      <top style="thin">
        <color indexed="64"/>
      </top>
      <bottom/>
      <diagonal/>
    </border>
    <border>
      <left style="thin">
        <color indexed="64"/>
      </left>
      <right style="thin">
        <color indexed="64"/>
      </right>
      <top style="double">
        <color indexed="64"/>
      </top>
      <bottom/>
      <diagonal/>
    </border>
    <border>
      <left style="thin">
        <color indexed="64"/>
      </left>
      <right style="thin">
        <color indexed="64"/>
      </right>
      <top style="double">
        <color indexed="64"/>
      </top>
      <bottom style="double">
        <color indexed="64"/>
      </bottom>
      <diagonal/>
    </border>
    <border>
      <left style="thin">
        <color rgb="FF505050"/>
      </left>
      <right style="thin">
        <color rgb="FF505050"/>
      </right>
      <top style="thin">
        <color rgb="FF505050"/>
      </top>
      <bottom style="thin">
        <color rgb="FF505050"/>
      </bottom>
      <diagonal/>
    </border>
    <border>
      <left style="thin">
        <color indexed="64"/>
      </left>
      <right style="thin">
        <color indexed="64"/>
      </right>
      <top style="thin">
        <color indexed="64"/>
      </top>
      <bottom style="double">
        <color rgb="FF505050"/>
      </bottom>
      <diagonal/>
    </border>
    <border>
      <left style="thin">
        <color rgb="FF505050"/>
      </left>
      <right style="thin">
        <color rgb="FF505050"/>
      </right>
      <top/>
      <bottom style="thin">
        <color rgb="FF505050"/>
      </bottom>
      <diagonal/>
    </border>
    <border>
      <left style="thin">
        <color rgb="FF505050"/>
      </left>
      <right style="thin">
        <color rgb="FF505050"/>
      </right>
      <top style="thin">
        <color rgb="FF505050"/>
      </top>
      <bottom style="double">
        <color rgb="FF505050"/>
      </bottom>
      <diagonal/>
    </border>
    <border>
      <left style="thin">
        <color indexed="64"/>
      </left>
      <right style="thin">
        <color rgb="FF505050"/>
      </right>
      <top style="thin">
        <color rgb="FF505050"/>
      </top>
      <bottom style="double">
        <color indexed="64"/>
      </bottom>
      <diagonal/>
    </border>
    <border>
      <left style="double">
        <color indexed="64"/>
      </left>
      <right/>
      <top style="thin">
        <color indexed="64"/>
      </top>
      <bottom style="double">
        <color indexed="64"/>
      </bottom>
      <diagonal/>
    </border>
    <border>
      <left style="thin">
        <color indexed="64"/>
      </left>
      <right style="thin">
        <color indexed="64"/>
      </right>
      <top/>
      <bottom/>
      <diagonal/>
    </border>
    <border>
      <left style="thin">
        <color indexed="64"/>
      </left>
      <right style="double">
        <color indexed="64"/>
      </right>
      <top style="double">
        <color indexed="64"/>
      </top>
      <bottom/>
      <diagonal/>
    </border>
  </borders>
  <cellStyleXfs count="3">
    <xf numFmtId="0" fontId="0" fillId="0" borderId="0">
      <alignment vertical="center"/>
    </xf>
    <xf numFmtId="0" fontId="11" fillId="0" borderId="0" applyNumberFormat="0" applyFill="0" applyBorder="0" applyAlignment="0" applyProtection="0">
      <alignment vertical="center"/>
    </xf>
    <xf numFmtId="0" fontId="16" fillId="0" borderId="0">
      <alignment vertical="center"/>
    </xf>
  </cellStyleXfs>
  <cellXfs count="308">
    <xf numFmtId="0" fontId="0" fillId="0" borderId="0" xfId="0">
      <alignment vertical="center"/>
    </xf>
    <xf numFmtId="176" fontId="0" fillId="0" borderId="0" xfId="0" applyNumberFormat="1" applyAlignment="1">
      <alignment horizontal="left" vertical="center"/>
    </xf>
    <xf numFmtId="176" fontId="0" fillId="2" borderId="1" xfId="0" applyNumberFormat="1" applyFill="1" applyBorder="1">
      <alignment vertical="center"/>
    </xf>
    <xf numFmtId="176" fontId="3" fillId="0" borderId="0" xfId="0" applyNumberFormat="1" applyFont="1">
      <alignment vertical="center"/>
    </xf>
    <xf numFmtId="177" fontId="3" fillId="0" borderId="0" xfId="0" applyNumberFormat="1" applyFont="1" applyAlignment="1">
      <alignment horizontal="left" vertical="center"/>
    </xf>
    <xf numFmtId="177" fontId="3" fillId="0" borderId="1" xfId="0" applyNumberFormat="1" applyFont="1" applyBorder="1" applyAlignment="1">
      <alignment horizontal="left" vertical="center"/>
    </xf>
    <xf numFmtId="176" fontId="0" fillId="0" borderId="1" xfId="0" applyNumberFormat="1" applyBorder="1">
      <alignment vertical="center"/>
    </xf>
    <xf numFmtId="176" fontId="3" fillId="0" borderId="1" xfId="0" applyNumberFormat="1" applyFont="1" applyBorder="1">
      <alignment vertical="center"/>
    </xf>
    <xf numFmtId="177" fontId="3" fillId="0" borderId="1" xfId="0" applyNumberFormat="1" applyFont="1" applyBorder="1">
      <alignment vertical="center"/>
    </xf>
    <xf numFmtId="176" fontId="3" fillId="0" borderId="1" xfId="0" applyNumberFormat="1" applyFont="1" applyBorder="1" applyAlignment="1">
      <alignment horizontal="left" vertical="center"/>
    </xf>
    <xf numFmtId="176" fontId="3" fillId="0" borderId="2" xfId="0" applyNumberFormat="1" applyFont="1" applyBorder="1">
      <alignment vertical="center"/>
    </xf>
    <xf numFmtId="176" fontId="0" fillId="0" borderId="2" xfId="0" applyNumberFormat="1" applyBorder="1">
      <alignment vertical="center"/>
    </xf>
    <xf numFmtId="176" fontId="0" fillId="0" borderId="3" xfId="0" applyNumberFormat="1" applyBorder="1">
      <alignment vertical="center"/>
    </xf>
    <xf numFmtId="176" fontId="3" fillId="0" borderId="4" xfId="0" applyNumberFormat="1" applyFont="1" applyBorder="1">
      <alignment vertical="center"/>
    </xf>
    <xf numFmtId="176" fontId="3" fillId="0" borderId="4" xfId="0" applyNumberFormat="1" applyFont="1" applyBorder="1" applyAlignment="1">
      <alignment horizontal="right" vertical="center"/>
    </xf>
    <xf numFmtId="176" fontId="3" fillId="0" borderId="1" xfId="0" applyNumberFormat="1" applyFont="1" applyBorder="1" applyAlignment="1">
      <alignment horizontal="right" vertical="center"/>
    </xf>
    <xf numFmtId="176" fontId="3" fillId="0" borderId="2" xfId="0" applyNumberFormat="1" applyFont="1" applyBorder="1" applyAlignment="1">
      <alignment horizontal="right" vertical="center"/>
    </xf>
    <xf numFmtId="176" fontId="3" fillId="0" borderId="3" xfId="0" applyNumberFormat="1" applyFont="1" applyBorder="1">
      <alignment vertical="center"/>
    </xf>
    <xf numFmtId="178" fontId="8" fillId="3" borderId="0" xfId="0" applyNumberFormat="1" applyFont="1" applyFill="1" applyAlignment="1">
      <alignment horizontal="left" vertical="center"/>
    </xf>
    <xf numFmtId="177" fontId="0" fillId="0" borderId="5" xfId="0" applyNumberFormat="1" applyBorder="1">
      <alignment vertical="center"/>
    </xf>
    <xf numFmtId="177" fontId="0" fillId="0" borderId="6" xfId="0" applyNumberFormat="1" applyBorder="1">
      <alignment vertical="center"/>
    </xf>
    <xf numFmtId="177" fontId="0" fillId="0" borderId="7" xfId="0" applyNumberFormat="1" applyBorder="1">
      <alignment vertical="center"/>
    </xf>
    <xf numFmtId="176" fontId="0" fillId="0" borderId="8" xfId="0" applyNumberFormat="1" applyBorder="1">
      <alignment vertical="center"/>
    </xf>
    <xf numFmtId="176" fontId="0" fillId="0" borderId="0" xfId="0" applyNumberFormat="1">
      <alignment vertical="center"/>
    </xf>
    <xf numFmtId="176" fontId="0" fillId="0" borderId="9" xfId="0" applyNumberFormat="1" applyBorder="1">
      <alignment vertical="center"/>
    </xf>
    <xf numFmtId="176" fontId="0" fillId="0" borderId="10" xfId="0" applyNumberFormat="1" applyBorder="1">
      <alignment vertical="center"/>
    </xf>
    <xf numFmtId="176" fontId="0" fillId="0" borderId="11" xfId="0" applyNumberFormat="1" applyBorder="1">
      <alignment vertical="center"/>
    </xf>
    <xf numFmtId="176" fontId="0" fillId="3" borderId="2" xfId="0" applyNumberFormat="1" applyFill="1" applyBorder="1">
      <alignment vertical="center"/>
    </xf>
    <xf numFmtId="176" fontId="0" fillId="4" borderId="2" xfId="0" applyNumberFormat="1" applyFill="1" applyBorder="1">
      <alignment vertical="center"/>
    </xf>
    <xf numFmtId="176" fontId="0" fillId="0" borderId="12" xfId="0" applyNumberFormat="1" applyBorder="1">
      <alignment vertical="center"/>
    </xf>
    <xf numFmtId="176" fontId="0" fillId="0" borderId="13" xfId="0" applyNumberFormat="1" applyBorder="1">
      <alignment vertical="center"/>
    </xf>
    <xf numFmtId="176" fontId="0" fillId="3" borderId="3" xfId="0" applyNumberFormat="1" applyFill="1" applyBorder="1">
      <alignment vertical="center"/>
    </xf>
    <xf numFmtId="176" fontId="0" fillId="3" borderId="13" xfId="0" applyNumberFormat="1" applyFill="1" applyBorder="1">
      <alignment vertical="center"/>
    </xf>
    <xf numFmtId="176" fontId="0" fillId="4" borderId="13" xfId="0" applyNumberFormat="1" applyFill="1" applyBorder="1">
      <alignment vertical="center"/>
    </xf>
    <xf numFmtId="176" fontId="0" fillId="0" borderId="14" xfId="0" applyNumberFormat="1" applyBorder="1">
      <alignment vertical="center"/>
    </xf>
    <xf numFmtId="176" fontId="0" fillId="3" borderId="1" xfId="0" applyNumberFormat="1" applyFill="1" applyBorder="1">
      <alignment vertical="center"/>
    </xf>
    <xf numFmtId="176" fontId="0" fillId="0" borderId="15" xfId="0" applyNumberFormat="1" applyBorder="1">
      <alignment vertical="center"/>
    </xf>
    <xf numFmtId="176" fontId="0" fillId="3" borderId="14" xfId="0" applyNumberFormat="1" applyFill="1" applyBorder="1">
      <alignment vertical="center"/>
    </xf>
    <xf numFmtId="176" fontId="0" fillId="3" borderId="15" xfId="0" applyNumberFormat="1" applyFill="1" applyBorder="1">
      <alignment vertical="center"/>
    </xf>
    <xf numFmtId="176" fontId="0" fillId="0" borderId="16" xfId="0" applyNumberFormat="1" applyBorder="1">
      <alignment vertical="center"/>
    </xf>
    <xf numFmtId="176" fontId="0" fillId="0" borderId="17" xfId="0" applyNumberFormat="1" applyBorder="1">
      <alignment vertical="center"/>
    </xf>
    <xf numFmtId="176" fontId="0" fillId="0" borderId="18" xfId="0" applyNumberFormat="1" applyBorder="1">
      <alignment vertical="center"/>
    </xf>
    <xf numFmtId="176" fontId="0" fillId="0" borderId="7" xfId="0" applyNumberFormat="1" applyBorder="1">
      <alignment vertical="center"/>
    </xf>
    <xf numFmtId="176" fontId="0" fillId="0" borderId="5" xfId="0" applyNumberFormat="1" applyBorder="1">
      <alignment vertical="center"/>
    </xf>
    <xf numFmtId="176" fontId="0" fillId="0" borderId="6" xfId="0" applyNumberFormat="1" applyBorder="1">
      <alignment vertical="center"/>
    </xf>
    <xf numFmtId="176" fontId="0" fillId="0" borderId="19" xfId="0" applyNumberFormat="1" applyBorder="1">
      <alignment vertical="center"/>
    </xf>
    <xf numFmtId="176" fontId="0" fillId="2" borderId="20" xfId="0" applyNumberFormat="1" applyFill="1" applyBorder="1">
      <alignment vertical="center"/>
    </xf>
    <xf numFmtId="176" fontId="0" fillId="2" borderId="21" xfId="0" applyNumberFormat="1" applyFill="1" applyBorder="1">
      <alignment vertical="center"/>
    </xf>
    <xf numFmtId="176" fontId="0" fillId="2" borderId="22" xfId="0" applyNumberFormat="1" applyFill="1" applyBorder="1">
      <alignment vertical="center"/>
    </xf>
    <xf numFmtId="0" fontId="0" fillId="0" borderId="1" xfId="0" applyBorder="1">
      <alignment vertical="center"/>
    </xf>
    <xf numFmtId="0" fontId="0" fillId="4" borderId="23" xfId="0" applyFill="1" applyBorder="1" applyAlignment="1">
      <alignment horizontal="centerContinuous" vertical="center"/>
    </xf>
    <xf numFmtId="0" fontId="0" fillId="4" borderId="14" xfId="0" applyFill="1" applyBorder="1" applyAlignment="1">
      <alignment horizontal="centerContinuous" vertical="center"/>
    </xf>
    <xf numFmtId="176" fontId="3" fillId="0" borderId="24" xfId="0" applyNumberFormat="1" applyFont="1" applyBorder="1">
      <alignment vertical="center"/>
    </xf>
    <xf numFmtId="176" fontId="3" fillId="0" borderId="25" xfId="0" applyNumberFormat="1" applyFont="1" applyBorder="1">
      <alignment vertical="center"/>
    </xf>
    <xf numFmtId="176" fontId="3" fillId="0" borderId="26" xfId="0" applyNumberFormat="1" applyFont="1" applyBorder="1">
      <alignment vertical="center"/>
    </xf>
    <xf numFmtId="176" fontId="3" fillId="0" borderId="27" xfId="0" applyNumberFormat="1" applyFont="1" applyBorder="1">
      <alignment vertical="center"/>
    </xf>
    <xf numFmtId="176" fontId="3" fillId="4" borderId="27" xfId="0" applyNumberFormat="1" applyFont="1" applyFill="1" applyBorder="1">
      <alignment vertical="center"/>
    </xf>
    <xf numFmtId="176" fontId="3" fillId="0" borderId="28" xfId="0" applyNumberFormat="1" applyFont="1" applyBorder="1">
      <alignment vertical="center"/>
    </xf>
    <xf numFmtId="176" fontId="3" fillId="0" borderId="29" xfId="0" applyNumberFormat="1" applyFont="1" applyBorder="1">
      <alignment vertical="center"/>
    </xf>
    <xf numFmtId="176" fontId="3" fillId="0" borderId="30" xfId="0" applyNumberFormat="1" applyFont="1" applyBorder="1">
      <alignment vertical="center"/>
    </xf>
    <xf numFmtId="176" fontId="3" fillId="0" borderId="31" xfId="0" applyNumberFormat="1" applyFont="1" applyBorder="1">
      <alignment vertical="center"/>
    </xf>
    <xf numFmtId="176" fontId="3" fillId="0" borderId="19" xfId="0" applyNumberFormat="1" applyFont="1" applyBorder="1">
      <alignment vertical="center"/>
    </xf>
    <xf numFmtId="176" fontId="3" fillId="0" borderId="32" xfId="0" applyNumberFormat="1" applyFont="1" applyBorder="1">
      <alignment vertical="center"/>
    </xf>
    <xf numFmtId="0" fontId="0" fillId="0" borderId="24" xfId="0" applyBorder="1">
      <alignment vertical="center"/>
    </xf>
    <xf numFmtId="179" fontId="0" fillId="4" borderId="1" xfId="0" applyNumberFormat="1" applyFill="1" applyBorder="1">
      <alignment vertical="center"/>
    </xf>
    <xf numFmtId="0" fontId="0" fillId="0" borderId="25" xfId="0" applyBorder="1">
      <alignment vertical="center"/>
    </xf>
    <xf numFmtId="176" fontId="3" fillId="0" borderId="24" xfId="0" applyNumberFormat="1" applyFont="1" applyBorder="1" applyAlignment="1">
      <alignment horizontal="left" vertical="center"/>
    </xf>
    <xf numFmtId="176" fontId="3" fillId="0" borderId="26" xfId="0" applyNumberFormat="1" applyFont="1" applyBorder="1" applyAlignment="1">
      <alignment horizontal="left" vertical="center"/>
    </xf>
    <xf numFmtId="179" fontId="0" fillId="0" borderId="1" xfId="0" applyNumberFormat="1" applyBorder="1">
      <alignment vertical="center"/>
    </xf>
    <xf numFmtId="176" fontId="3" fillId="0" borderId="33" xfId="0" applyNumberFormat="1" applyFont="1" applyBorder="1" applyAlignment="1">
      <alignment horizontal="left" vertical="center"/>
    </xf>
    <xf numFmtId="176" fontId="3" fillId="4" borderId="3" xfId="0" applyNumberFormat="1" applyFont="1" applyFill="1" applyBorder="1">
      <alignment vertical="center"/>
    </xf>
    <xf numFmtId="176" fontId="3" fillId="0" borderId="34" xfId="0" applyNumberFormat="1" applyFont="1" applyBorder="1">
      <alignment vertical="center"/>
    </xf>
    <xf numFmtId="176" fontId="3" fillId="0" borderId="35" xfId="0" applyNumberFormat="1" applyFont="1" applyBorder="1" applyAlignment="1">
      <alignment horizontal="left" vertical="center"/>
    </xf>
    <xf numFmtId="0" fontId="0" fillId="0" borderId="2" xfId="0" applyBorder="1">
      <alignment vertical="center"/>
    </xf>
    <xf numFmtId="0" fontId="0" fillId="0" borderId="36" xfId="0" applyBorder="1">
      <alignment vertical="center"/>
    </xf>
    <xf numFmtId="0" fontId="0" fillId="0" borderId="37" xfId="0" applyBorder="1">
      <alignment vertical="center"/>
    </xf>
    <xf numFmtId="0" fontId="0" fillId="0" borderId="38" xfId="0" applyBorder="1">
      <alignment vertical="center"/>
    </xf>
    <xf numFmtId="179" fontId="0" fillId="0" borderId="38" xfId="0" applyNumberFormat="1" applyBorder="1">
      <alignment vertical="center"/>
    </xf>
    <xf numFmtId="0" fontId="0" fillId="0" borderId="39" xfId="0" applyBorder="1">
      <alignment vertical="center"/>
    </xf>
    <xf numFmtId="176" fontId="3" fillId="0" borderId="40" xfId="0" applyNumberFormat="1" applyFont="1" applyBorder="1" applyAlignment="1">
      <alignment horizontal="left" vertical="center"/>
    </xf>
    <xf numFmtId="0" fontId="0" fillId="0" borderId="41" xfId="0" applyBorder="1">
      <alignment vertical="center"/>
    </xf>
    <xf numFmtId="0" fontId="1" fillId="4" borderId="41" xfId="0" applyFont="1" applyFill="1" applyBorder="1">
      <alignment vertical="center"/>
    </xf>
    <xf numFmtId="0" fontId="0" fillId="0" borderId="42" xfId="0" applyBorder="1">
      <alignment vertical="center"/>
    </xf>
    <xf numFmtId="176" fontId="0" fillId="2" borderId="23" xfId="0" applyNumberFormat="1" applyFill="1" applyBorder="1">
      <alignment vertical="center"/>
    </xf>
    <xf numFmtId="0" fontId="0" fillId="0" borderId="0" xfId="0" applyAlignment="1">
      <alignment horizontal="center" vertical="center"/>
    </xf>
    <xf numFmtId="176" fontId="0" fillId="2" borderId="2" xfId="0" applyNumberFormat="1" applyFill="1" applyBorder="1">
      <alignment vertical="center"/>
    </xf>
    <xf numFmtId="176" fontId="0" fillId="2" borderId="43" xfId="0" applyNumberFormat="1" applyFill="1" applyBorder="1">
      <alignment vertical="center"/>
    </xf>
    <xf numFmtId="176" fontId="0" fillId="4" borderId="3" xfId="0" applyNumberFormat="1" applyFill="1" applyBorder="1">
      <alignment vertical="center"/>
    </xf>
    <xf numFmtId="176" fontId="0" fillId="0" borderId="44" xfId="0" applyNumberFormat="1" applyBorder="1">
      <alignment vertical="center"/>
    </xf>
    <xf numFmtId="0" fontId="0" fillId="0" borderId="45" xfId="0" applyBorder="1">
      <alignment vertical="center"/>
    </xf>
    <xf numFmtId="176" fontId="0" fillId="2" borderId="11" xfId="0" applyNumberFormat="1" applyFill="1" applyBorder="1">
      <alignment vertical="center"/>
    </xf>
    <xf numFmtId="176" fontId="13" fillId="0" borderId="4" xfId="1" applyNumberFormat="1" applyFont="1" applyBorder="1" applyAlignment="1">
      <alignment vertical="center"/>
    </xf>
    <xf numFmtId="0" fontId="0" fillId="0" borderId="0" xfId="0" quotePrefix="1">
      <alignment vertical="center"/>
    </xf>
    <xf numFmtId="176" fontId="0" fillId="4" borderId="1" xfId="0" applyNumberFormat="1" applyFill="1" applyBorder="1">
      <alignment vertical="center"/>
    </xf>
    <xf numFmtId="176" fontId="13" fillId="0" borderId="1" xfId="1" applyNumberFormat="1" applyFont="1" applyBorder="1" applyAlignment="1">
      <alignment vertical="center"/>
    </xf>
    <xf numFmtId="176" fontId="0" fillId="4" borderId="1" xfId="0" applyNumberFormat="1" applyFill="1" applyBorder="1" applyAlignment="1">
      <alignment horizontal="center" vertical="center"/>
    </xf>
    <xf numFmtId="180" fontId="0" fillId="0" borderId="1" xfId="0" applyNumberFormat="1" applyBorder="1">
      <alignment vertical="center"/>
    </xf>
    <xf numFmtId="176" fontId="14" fillId="0" borderId="1" xfId="1" applyNumberFormat="1" applyFont="1" applyBorder="1" applyAlignment="1">
      <alignment vertical="center"/>
    </xf>
    <xf numFmtId="177" fontId="0" fillId="4" borderId="1" xfId="0" applyNumberFormat="1" applyFill="1" applyBorder="1">
      <alignment vertical="center"/>
    </xf>
    <xf numFmtId="176" fontId="15" fillId="0" borderId="1" xfId="1" applyNumberFormat="1" applyFont="1" applyBorder="1" applyAlignment="1">
      <alignment vertical="center"/>
    </xf>
    <xf numFmtId="177" fontId="0" fillId="0" borderId="1" xfId="0" applyNumberFormat="1" applyBorder="1">
      <alignment vertical="center"/>
    </xf>
    <xf numFmtId="176" fontId="15" fillId="0" borderId="1" xfId="1" applyNumberFormat="1" applyFont="1" applyBorder="1" applyAlignment="1">
      <alignment horizontal="left" vertical="center"/>
    </xf>
    <xf numFmtId="176" fontId="0" fillId="0" borderId="4" xfId="0" applyNumberFormat="1" applyBorder="1">
      <alignment vertical="center"/>
    </xf>
    <xf numFmtId="176" fontId="0" fillId="4" borderId="4" xfId="0" applyNumberFormat="1" applyFill="1" applyBorder="1">
      <alignment vertical="center"/>
    </xf>
    <xf numFmtId="176" fontId="0" fillId="2" borderId="27" xfId="0" applyNumberFormat="1" applyFill="1" applyBorder="1">
      <alignment vertical="center"/>
    </xf>
    <xf numFmtId="176" fontId="12" fillId="0" borderId="1" xfId="1" applyNumberFormat="1" applyFont="1" applyBorder="1">
      <alignment vertical="center"/>
    </xf>
    <xf numFmtId="176" fontId="0" fillId="2" borderId="51" xfId="0" applyNumberFormat="1" applyFill="1" applyBorder="1">
      <alignment vertical="center"/>
    </xf>
    <xf numFmtId="176" fontId="0" fillId="2" borderId="15" xfId="0" applyNumberFormat="1" applyFill="1" applyBorder="1">
      <alignment vertical="center"/>
    </xf>
    <xf numFmtId="176" fontId="0" fillId="2" borderId="52" xfId="0" applyNumberFormat="1" applyFill="1" applyBorder="1">
      <alignment vertical="center"/>
    </xf>
    <xf numFmtId="176" fontId="0" fillId="2" borderId="14" xfId="0" applyNumberFormat="1" applyFill="1" applyBorder="1">
      <alignment vertical="center"/>
    </xf>
    <xf numFmtId="176" fontId="0" fillId="2" borderId="53" xfId="0" applyNumberFormat="1" applyFill="1" applyBorder="1">
      <alignment vertical="center"/>
    </xf>
    <xf numFmtId="176" fontId="0" fillId="2" borderId="10" xfId="0" applyNumberFormat="1" applyFill="1" applyBorder="1">
      <alignment vertical="center"/>
    </xf>
    <xf numFmtId="176" fontId="0" fillId="2" borderId="54" xfId="0" applyNumberFormat="1" applyFill="1" applyBorder="1">
      <alignment vertical="center"/>
    </xf>
    <xf numFmtId="176" fontId="11" fillId="0" borderId="0" xfId="1" applyNumberFormat="1" applyFill="1" applyBorder="1" applyAlignment="1">
      <alignment horizontal="left" vertical="center"/>
    </xf>
    <xf numFmtId="176" fontId="0" fillId="0" borderId="0" xfId="0" applyNumberFormat="1" applyAlignment="1">
      <alignment horizontal="center" vertical="center"/>
    </xf>
    <xf numFmtId="176" fontId="11" fillId="0" borderId="0" xfId="1" applyNumberFormat="1">
      <alignment vertical="center"/>
    </xf>
    <xf numFmtId="0" fontId="0" fillId="4" borderId="15" xfId="0" applyFill="1" applyBorder="1">
      <alignment vertical="center"/>
    </xf>
    <xf numFmtId="0" fontId="0" fillId="4" borderId="12" xfId="0" applyFill="1" applyBorder="1">
      <alignment vertical="center"/>
    </xf>
    <xf numFmtId="0" fontId="0" fillId="0" borderId="13" xfId="0" applyBorder="1">
      <alignment vertical="center"/>
    </xf>
    <xf numFmtId="0" fontId="0" fillId="0" borderId="10" xfId="0" applyBorder="1">
      <alignment vertical="center"/>
    </xf>
    <xf numFmtId="0" fontId="0" fillId="4" borderId="11" xfId="0" applyFill="1" applyBorder="1">
      <alignment vertical="center"/>
    </xf>
    <xf numFmtId="0" fontId="0" fillId="4" borderId="2" xfId="0" applyFill="1" applyBorder="1">
      <alignment vertical="center"/>
    </xf>
    <xf numFmtId="178" fontId="0" fillId="4" borderId="1" xfId="0" applyNumberFormat="1" applyFill="1" applyBorder="1">
      <alignment vertical="center"/>
    </xf>
    <xf numFmtId="182" fontId="0" fillId="4" borderId="1" xfId="0" applyNumberFormat="1" applyFill="1" applyBorder="1">
      <alignment vertical="center"/>
    </xf>
    <xf numFmtId="0" fontId="0" fillId="5" borderId="19" xfId="0" applyFill="1" applyBorder="1">
      <alignment vertical="center"/>
    </xf>
    <xf numFmtId="0" fontId="0" fillId="5" borderId="3" xfId="0" applyFill="1" applyBorder="1">
      <alignment vertical="center"/>
    </xf>
    <xf numFmtId="0" fontId="0" fillId="6" borderId="3" xfId="0" applyFill="1" applyBorder="1">
      <alignment vertical="center"/>
    </xf>
    <xf numFmtId="0" fontId="0" fillId="6" borderId="1" xfId="0" applyFill="1" applyBorder="1">
      <alignment vertical="center"/>
    </xf>
    <xf numFmtId="181" fontId="0" fillId="0" borderId="0" xfId="0" applyNumberFormat="1">
      <alignment vertical="center"/>
    </xf>
    <xf numFmtId="0" fontId="0" fillId="0" borderId="55" xfId="0" applyBorder="1">
      <alignment vertical="center"/>
    </xf>
    <xf numFmtId="0" fontId="0" fillId="0" borderId="57" xfId="0" applyBorder="1">
      <alignment vertical="center"/>
    </xf>
    <xf numFmtId="0" fontId="0" fillId="0" borderId="56" xfId="0" applyBorder="1">
      <alignment vertical="center"/>
    </xf>
    <xf numFmtId="0" fontId="0" fillId="6" borderId="0" xfId="0" applyFill="1">
      <alignment vertical="center"/>
    </xf>
    <xf numFmtId="181" fontId="0" fillId="0" borderId="45" xfId="0" applyNumberFormat="1" applyBorder="1">
      <alignment vertical="center"/>
    </xf>
    <xf numFmtId="11" fontId="0" fillId="0" borderId="1" xfId="0" applyNumberFormat="1" applyBorder="1">
      <alignment vertical="center"/>
    </xf>
    <xf numFmtId="11" fontId="0" fillId="0" borderId="13" xfId="0" applyNumberFormat="1" applyBorder="1">
      <alignment vertical="center"/>
    </xf>
    <xf numFmtId="11" fontId="0" fillId="0" borderId="14" xfId="0" applyNumberFormat="1" applyBorder="1">
      <alignment vertical="center"/>
    </xf>
    <xf numFmtId="11" fontId="0" fillId="0" borderId="3" xfId="0" applyNumberFormat="1" applyBorder="1">
      <alignment vertical="center"/>
    </xf>
    <xf numFmtId="182" fontId="0" fillId="0" borderId="13" xfId="0" applyNumberFormat="1" applyBorder="1">
      <alignment vertical="center"/>
    </xf>
    <xf numFmtId="0" fontId="0" fillId="0" borderId="43" xfId="0" applyBorder="1">
      <alignment vertical="center"/>
    </xf>
    <xf numFmtId="0" fontId="0" fillId="6" borderId="44" xfId="0" applyFill="1" applyBorder="1">
      <alignment vertical="center"/>
    </xf>
    <xf numFmtId="0" fontId="0" fillId="6" borderId="23" xfId="0" applyFill="1" applyBorder="1">
      <alignment vertical="center"/>
    </xf>
    <xf numFmtId="0" fontId="0" fillId="0" borderId="58" xfId="0" applyBorder="1" applyAlignment="1">
      <alignment horizontal="center" vertical="center"/>
    </xf>
    <xf numFmtId="0" fontId="0" fillId="4" borderId="1" xfId="0" applyFill="1" applyBorder="1">
      <alignment vertical="center"/>
    </xf>
    <xf numFmtId="0" fontId="0" fillId="0" borderId="3" xfId="0" applyBorder="1">
      <alignment vertical="center"/>
    </xf>
    <xf numFmtId="0" fontId="0" fillId="6" borderId="2" xfId="0" applyFill="1" applyBorder="1">
      <alignment vertical="center"/>
    </xf>
    <xf numFmtId="0" fontId="0" fillId="4" borderId="0" xfId="0" applyFill="1">
      <alignment vertical="center"/>
    </xf>
    <xf numFmtId="0" fontId="0" fillId="2" borderId="1" xfId="0" applyFill="1" applyBorder="1">
      <alignment vertical="center"/>
    </xf>
    <xf numFmtId="38" fontId="16" fillId="4" borderId="1" xfId="2" applyNumberFormat="1" applyFill="1" applyBorder="1">
      <alignment vertical="center"/>
    </xf>
    <xf numFmtId="176" fontId="16" fillId="0" borderId="1" xfId="2" applyNumberFormat="1" applyBorder="1">
      <alignment vertical="center"/>
    </xf>
    <xf numFmtId="176" fontId="16" fillId="4" borderId="1" xfId="2" applyNumberFormat="1" applyFill="1" applyBorder="1">
      <alignment vertical="center"/>
    </xf>
    <xf numFmtId="176" fontId="16" fillId="2" borderId="1" xfId="2" applyNumberFormat="1" applyFill="1" applyBorder="1">
      <alignment vertical="center"/>
    </xf>
    <xf numFmtId="176" fontId="0" fillId="7" borderId="1" xfId="0" applyNumberFormat="1" applyFill="1" applyBorder="1">
      <alignment vertical="center"/>
    </xf>
    <xf numFmtId="177" fontId="0" fillId="0" borderId="0" xfId="0" applyNumberFormat="1">
      <alignment vertical="center"/>
    </xf>
    <xf numFmtId="176" fontId="17" fillId="0" borderId="0" xfId="0" applyNumberFormat="1" applyFont="1">
      <alignment vertical="center"/>
    </xf>
    <xf numFmtId="176" fontId="18" fillId="0" borderId="0" xfId="0" applyNumberFormat="1" applyFont="1">
      <alignment vertical="center"/>
    </xf>
    <xf numFmtId="0" fontId="19" fillId="0" borderId="0" xfId="0" applyFont="1" applyAlignment="1">
      <alignment vertical="top"/>
    </xf>
    <xf numFmtId="176" fontId="0" fillId="0" borderId="1" xfId="0" applyNumberFormat="1" applyBorder="1" applyAlignment="1">
      <alignment horizontal="left" vertical="center"/>
    </xf>
    <xf numFmtId="177" fontId="0" fillId="0" borderId="3" xfId="0" applyNumberFormat="1" applyBorder="1">
      <alignment vertical="center"/>
    </xf>
    <xf numFmtId="176" fontId="0" fillId="0" borderId="2" xfId="0" applyNumberFormat="1" applyBorder="1" applyAlignment="1">
      <alignment horizontal="left" vertical="center"/>
    </xf>
    <xf numFmtId="176" fontId="0" fillId="2" borderId="3" xfId="0" applyNumberFormat="1" applyFill="1" applyBorder="1">
      <alignment vertical="center"/>
    </xf>
    <xf numFmtId="176" fontId="0" fillId="0" borderId="59" xfId="0" applyNumberFormat="1" applyBorder="1">
      <alignment vertical="center"/>
    </xf>
    <xf numFmtId="176" fontId="0" fillId="0" borderId="57" xfId="0" applyNumberFormat="1" applyBorder="1">
      <alignment vertical="center"/>
    </xf>
    <xf numFmtId="176" fontId="0" fillId="0" borderId="56" xfId="0" applyNumberFormat="1" applyBorder="1">
      <alignment vertical="center"/>
    </xf>
    <xf numFmtId="176" fontId="0" fillId="0" borderId="58" xfId="0" applyNumberFormat="1" applyBorder="1">
      <alignment vertical="center"/>
    </xf>
    <xf numFmtId="176" fontId="0" fillId="0" borderId="55" xfId="0" applyNumberFormat="1" applyBorder="1">
      <alignment vertical="center"/>
    </xf>
    <xf numFmtId="176" fontId="0" fillId="0" borderId="45" xfId="0" applyNumberFormat="1" applyBorder="1">
      <alignment vertical="center"/>
    </xf>
    <xf numFmtId="176" fontId="0" fillId="8" borderId="1" xfId="0" applyNumberFormat="1" applyFill="1" applyBorder="1">
      <alignment vertical="center"/>
    </xf>
    <xf numFmtId="176" fontId="12" fillId="4" borderId="1" xfId="0" applyNumberFormat="1" applyFont="1" applyFill="1" applyBorder="1">
      <alignment vertical="center"/>
    </xf>
    <xf numFmtId="176" fontId="12" fillId="0" borderId="1" xfId="0" applyNumberFormat="1" applyFont="1" applyBorder="1">
      <alignment vertical="center"/>
    </xf>
    <xf numFmtId="176" fontId="0" fillId="2" borderId="1" xfId="0" quotePrefix="1" applyNumberFormat="1" applyFill="1" applyBorder="1">
      <alignment vertical="center"/>
    </xf>
    <xf numFmtId="176" fontId="0" fillId="2" borderId="60" xfId="0" applyNumberFormat="1" applyFill="1" applyBorder="1">
      <alignment vertical="center"/>
    </xf>
    <xf numFmtId="176" fontId="0" fillId="2" borderId="61" xfId="0" applyNumberFormat="1" applyFill="1" applyBorder="1">
      <alignment vertical="center"/>
    </xf>
    <xf numFmtId="176" fontId="0" fillId="2" borderId="62" xfId="0" applyNumberFormat="1" applyFill="1" applyBorder="1">
      <alignment vertical="center"/>
    </xf>
    <xf numFmtId="176" fontId="0" fillId="2" borderId="46" xfId="0" applyNumberFormat="1" applyFill="1" applyBorder="1">
      <alignment vertical="center"/>
    </xf>
    <xf numFmtId="176" fontId="0" fillId="0" borderId="23" xfId="0" applyNumberFormat="1" applyBorder="1">
      <alignment vertical="center"/>
    </xf>
    <xf numFmtId="176" fontId="0" fillId="0" borderId="3" xfId="0" applyNumberFormat="1" applyBorder="1" applyAlignment="1">
      <alignment horizontal="left" vertical="center"/>
    </xf>
    <xf numFmtId="176" fontId="0" fillId="0" borderId="63" xfId="0" applyNumberFormat="1" applyBorder="1" applyAlignment="1">
      <alignment horizontal="left" vertical="center"/>
    </xf>
    <xf numFmtId="176" fontId="0" fillId="0" borderId="23" xfId="0" applyNumberFormat="1" applyBorder="1" applyAlignment="1">
      <alignment horizontal="left" vertical="center"/>
    </xf>
    <xf numFmtId="176" fontId="0" fillId="0" borderId="14" xfId="0" applyNumberFormat="1" applyBorder="1" applyAlignment="1">
      <alignment horizontal="left" vertical="center"/>
    </xf>
    <xf numFmtId="176" fontId="0" fillId="0" borderId="15" xfId="0" applyNumberFormat="1" applyBorder="1" applyAlignment="1">
      <alignment horizontal="left" vertical="center"/>
    </xf>
    <xf numFmtId="176" fontId="0" fillId="0" borderId="51" xfId="0" applyNumberFormat="1" applyBorder="1">
      <alignment vertical="center"/>
    </xf>
    <xf numFmtId="176" fontId="0" fillId="0" borderId="46" xfId="0" applyNumberFormat="1" applyBorder="1">
      <alignment vertical="center"/>
    </xf>
    <xf numFmtId="176" fontId="0" fillId="0" borderId="19" xfId="0" applyNumberFormat="1" applyBorder="1" applyAlignment="1">
      <alignment horizontal="left" vertical="center"/>
    </xf>
    <xf numFmtId="176" fontId="0" fillId="0" borderId="64" xfId="0" applyNumberFormat="1" applyBorder="1" applyAlignment="1">
      <alignment horizontal="left" vertical="center"/>
    </xf>
    <xf numFmtId="176" fontId="0" fillId="0" borderId="65" xfId="0" applyNumberFormat="1" applyBorder="1">
      <alignment vertical="center"/>
    </xf>
    <xf numFmtId="176" fontId="0" fillId="0" borderId="59" xfId="0" applyNumberFormat="1" applyBorder="1" applyAlignment="1">
      <alignment horizontal="left" vertical="center"/>
    </xf>
    <xf numFmtId="176" fontId="0" fillId="0" borderId="56" xfId="0" applyNumberFormat="1" applyBorder="1" applyAlignment="1">
      <alignment horizontal="left" vertical="center"/>
    </xf>
    <xf numFmtId="176" fontId="0" fillId="0" borderId="10" xfId="0" applyNumberFormat="1" applyBorder="1" applyAlignment="1">
      <alignment horizontal="left" vertical="center"/>
    </xf>
    <xf numFmtId="176" fontId="0" fillId="0" borderId="53" xfId="0" applyNumberFormat="1" applyBorder="1">
      <alignment vertical="center"/>
    </xf>
    <xf numFmtId="176" fontId="0" fillId="0" borderId="2" xfId="0" applyNumberFormat="1" applyBorder="1" applyAlignment="1"/>
    <xf numFmtId="176" fontId="0" fillId="0" borderId="43" xfId="0" applyNumberFormat="1" applyBorder="1">
      <alignment vertical="center"/>
    </xf>
    <xf numFmtId="177" fontId="0" fillId="0" borderId="4" xfId="0" applyNumberFormat="1" applyBorder="1">
      <alignment vertical="center"/>
    </xf>
    <xf numFmtId="176" fontId="0" fillId="9" borderId="4" xfId="0" applyNumberFormat="1" applyFill="1" applyBorder="1">
      <alignment vertical="center"/>
    </xf>
    <xf numFmtId="176" fontId="0" fillId="4" borderId="63" xfId="0" applyNumberFormat="1" applyFill="1" applyBorder="1">
      <alignment vertical="center"/>
    </xf>
    <xf numFmtId="176" fontId="0" fillId="9" borderId="3" xfId="0" applyNumberFormat="1" applyFill="1" applyBorder="1">
      <alignment vertical="center"/>
    </xf>
    <xf numFmtId="176" fontId="0" fillId="9" borderId="1" xfId="0" applyNumberFormat="1" applyFill="1" applyBorder="1">
      <alignment vertical="center"/>
    </xf>
    <xf numFmtId="176" fontId="0" fillId="9" borderId="15" xfId="0" applyNumberFormat="1" applyFill="1" applyBorder="1">
      <alignment vertical="center"/>
    </xf>
    <xf numFmtId="176" fontId="0" fillId="9" borderId="23" xfId="0" applyNumberFormat="1" applyFill="1" applyBorder="1">
      <alignment vertical="center"/>
    </xf>
    <xf numFmtId="176" fontId="0" fillId="9" borderId="14" xfId="0" applyNumberFormat="1" applyFill="1" applyBorder="1">
      <alignment vertical="center"/>
    </xf>
    <xf numFmtId="180" fontId="0" fillId="9" borderId="3" xfId="0" applyNumberFormat="1" applyFill="1" applyBorder="1">
      <alignment vertical="center"/>
    </xf>
    <xf numFmtId="177" fontId="0" fillId="9" borderId="3" xfId="0" applyNumberFormat="1" applyFill="1" applyBorder="1">
      <alignment vertical="center"/>
    </xf>
    <xf numFmtId="180" fontId="0" fillId="0" borderId="3" xfId="0" applyNumberFormat="1" applyBorder="1">
      <alignment vertical="center"/>
    </xf>
    <xf numFmtId="180" fontId="0" fillId="9" borderId="1" xfId="0" applyNumberFormat="1" applyFill="1" applyBorder="1">
      <alignment vertical="center"/>
    </xf>
    <xf numFmtId="177" fontId="0" fillId="9" borderId="1" xfId="0" applyNumberFormat="1" applyFill="1" applyBorder="1">
      <alignment vertical="center"/>
    </xf>
    <xf numFmtId="0" fontId="0" fillId="0" borderId="17" xfId="0" applyBorder="1">
      <alignment vertical="center"/>
    </xf>
    <xf numFmtId="177" fontId="0" fillId="4" borderId="3" xfId="0" applyNumberFormat="1" applyFill="1" applyBorder="1">
      <alignment vertical="center"/>
    </xf>
    <xf numFmtId="0" fontId="0" fillId="2" borderId="0" xfId="0" applyFill="1">
      <alignment vertical="center"/>
    </xf>
    <xf numFmtId="0" fontId="0" fillId="5" borderId="1" xfId="0" applyFill="1" applyBorder="1">
      <alignment vertical="center"/>
    </xf>
    <xf numFmtId="0" fontId="0" fillId="2" borderId="3" xfId="0" applyFill="1" applyBorder="1">
      <alignment vertical="center"/>
    </xf>
    <xf numFmtId="0" fontId="0" fillId="4" borderId="3" xfId="0" applyFill="1" applyBorder="1">
      <alignment vertical="center"/>
    </xf>
    <xf numFmtId="0" fontId="0" fillId="2" borderId="14" xfId="0" applyFill="1" applyBorder="1">
      <alignment vertical="center"/>
    </xf>
    <xf numFmtId="0" fontId="0" fillId="4" borderId="14" xfId="0" applyFill="1" applyBorder="1">
      <alignment vertical="center"/>
    </xf>
    <xf numFmtId="0" fontId="0" fillId="0" borderId="14" xfId="0" applyBorder="1">
      <alignment vertical="center"/>
    </xf>
    <xf numFmtId="0" fontId="0" fillId="0" borderId="15" xfId="0" applyBorder="1">
      <alignment vertical="center"/>
    </xf>
    <xf numFmtId="0" fontId="0" fillId="2" borderId="15" xfId="0" applyFill="1" applyBorder="1">
      <alignment vertical="center"/>
    </xf>
    <xf numFmtId="0" fontId="0" fillId="2" borderId="2" xfId="0" applyFill="1" applyBorder="1">
      <alignment vertical="center"/>
    </xf>
    <xf numFmtId="177" fontId="0" fillId="5" borderId="3" xfId="0" applyNumberFormat="1" applyFill="1" applyBorder="1">
      <alignment vertical="center"/>
    </xf>
    <xf numFmtId="177" fontId="0" fillId="5" borderId="1" xfId="0" applyNumberFormat="1" applyFill="1" applyBorder="1">
      <alignment vertical="center"/>
    </xf>
    <xf numFmtId="176" fontId="0" fillId="2" borderId="19" xfId="0" applyNumberFormat="1" applyFill="1" applyBorder="1">
      <alignment vertical="center"/>
    </xf>
    <xf numFmtId="176" fontId="0" fillId="2" borderId="59" xfId="0" applyNumberFormat="1" applyFill="1" applyBorder="1">
      <alignment vertical="center"/>
    </xf>
    <xf numFmtId="176" fontId="0" fillId="0" borderId="1" xfId="0" applyNumberFormat="1" applyBorder="1" applyAlignment="1">
      <alignment horizontal="right" vertical="center"/>
    </xf>
    <xf numFmtId="177" fontId="0" fillId="0" borderId="19" xfId="0" applyNumberFormat="1" applyBorder="1">
      <alignment vertical="center"/>
    </xf>
    <xf numFmtId="176" fontId="0" fillId="2" borderId="23" xfId="0" applyNumberFormat="1" applyFill="1" applyBorder="1" applyAlignment="1">
      <alignment horizontal="center" vertical="center"/>
    </xf>
    <xf numFmtId="176" fontId="0" fillId="2" borderId="14" xfId="0" applyNumberFormat="1" applyFill="1" applyBorder="1" applyAlignment="1">
      <alignment horizontal="center" vertical="center"/>
    </xf>
    <xf numFmtId="176" fontId="0" fillId="7" borderId="3" xfId="0" applyNumberFormat="1" applyFill="1" applyBorder="1">
      <alignment vertical="center"/>
    </xf>
    <xf numFmtId="177" fontId="0" fillId="0" borderId="3" xfId="0" applyNumberFormat="1" applyBorder="1" applyAlignment="1">
      <alignment horizontal="right" vertical="center"/>
    </xf>
    <xf numFmtId="177" fontId="0" fillId="0" borderId="1" xfId="0" applyNumberFormat="1" applyBorder="1" applyAlignment="1">
      <alignment horizontal="right" vertical="center"/>
    </xf>
    <xf numFmtId="176" fontId="0" fillId="7" borderId="23" xfId="0" applyNumberFormat="1" applyFill="1" applyBorder="1">
      <alignment vertical="center"/>
    </xf>
    <xf numFmtId="176" fontId="0" fillId="4" borderId="45" xfId="0" applyNumberFormat="1" applyFill="1" applyBorder="1">
      <alignment vertical="center"/>
    </xf>
    <xf numFmtId="178" fontId="0" fillId="0" borderId="3" xfId="0" applyNumberFormat="1" applyBorder="1">
      <alignment vertical="center"/>
    </xf>
    <xf numFmtId="178" fontId="0" fillId="0" borderId="1" xfId="0" applyNumberFormat="1" applyBorder="1">
      <alignment vertical="center"/>
    </xf>
    <xf numFmtId="176" fontId="0" fillId="0" borderId="66" xfId="0" applyNumberFormat="1" applyBorder="1">
      <alignment vertical="center"/>
    </xf>
    <xf numFmtId="183" fontId="0" fillId="0" borderId="0" xfId="0" applyNumberFormat="1">
      <alignment vertical="center"/>
    </xf>
    <xf numFmtId="176" fontId="17" fillId="5" borderId="0" xfId="0" applyNumberFormat="1" applyFont="1" applyFill="1">
      <alignment vertical="center"/>
    </xf>
    <xf numFmtId="0" fontId="0" fillId="5" borderId="0" xfId="0" applyFill="1">
      <alignment vertical="center"/>
    </xf>
    <xf numFmtId="0" fontId="0" fillId="10" borderId="0" xfId="0" applyFill="1">
      <alignment vertical="center"/>
    </xf>
    <xf numFmtId="184" fontId="0" fillId="0" borderId="0" xfId="0" applyNumberFormat="1">
      <alignment vertical="center"/>
    </xf>
    <xf numFmtId="185" fontId="0" fillId="0" borderId="0" xfId="0" applyNumberFormat="1">
      <alignment vertical="center"/>
    </xf>
    <xf numFmtId="56" fontId="0" fillId="0" borderId="0" xfId="0" applyNumberFormat="1">
      <alignment vertical="center"/>
    </xf>
    <xf numFmtId="176" fontId="0" fillId="0" borderId="1" xfId="0" applyNumberFormat="1" applyBorder="1" applyAlignment="1">
      <alignment vertical="center" shrinkToFit="1"/>
    </xf>
    <xf numFmtId="0" fontId="0" fillId="0" borderId="0" xfId="0" applyAlignment="1">
      <alignment vertical="center" wrapText="1"/>
    </xf>
    <xf numFmtId="0" fontId="0" fillId="2" borderId="23" xfId="0" applyFill="1" applyBorder="1">
      <alignment vertical="center"/>
    </xf>
    <xf numFmtId="0" fontId="0" fillId="2" borderId="46" xfId="0" applyFill="1" applyBorder="1">
      <alignment vertical="center"/>
    </xf>
    <xf numFmtId="0" fontId="0" fillId="0" borderId="58" xfId="0" applyBorder="1">
      <alignment vertical="center"/>
    </xf>
    <xf numFmtId="0" fontId="0" fillId="0" borderId="44" xfId="0" applyBorder="1">
      <alignment vertical="center"/>
    </xf>
    <xf numFmtId="0" fontId="0" fillId="2" borderId="59" xfId="0" applyFill="1" applyBorder="1">
      <alignment vertical="center"/>
    </xf>
    <xf numFmtId="0" fontId="0" fillId="2" borderId="57" xfId="0" applyFill="1" applyBorder="1">
      <alignment vertical="center"/>
    </xf>
    <xf numFmtId="176" fontId="0" fillId="0" borderId="27" xfId="0" applyNumberFormat="1" applyBorder="1">
      <alignment vertical="center"/>
    </xf>
    <xf numFmtId="176" fontId="0" fillId="0" borderId="67" xfId="0" applyNumberFormat="1" applyBorder="1">
      <alignment vertical="center"/>
    </xf>
    <xf numFmtId="176" fontId="0" fillId="4" borderId="27" xfId="0" applyNumberFormat="1" applyFill="1" applyBorder="1">
      <alignment vertical="center"/>
    </xf>
    <xf numFmtId="176" fontId="0" fillId="4" borderId="23" xfId="0" applyNumberFormat="1" applyFill="1" applyBorder="1">
      <alignment vertical="center"/>
    </xf>
    <xf numFmtId="176" fontId="0" fillId="0" borderId="68" xfId="0" applyNumberFormat="1" applyBorder="1">
      <alignment vertical="center"/>
    </xf>
    <xf numFmtId="176" fontId="0" fillId="4" borderId="67" xfId="0" applyNumberFormat="1" applyFill="1" applyBorder="1">
      <alignment vertical="center"/>
    </xf>
    <xf numFmtId="176" fontId="0" fillId="4" borderId="69" xfId="0" applyNumberFormat="1" applyFill="1" applyBorder="1">
      <alignment vertical="center"/>
    </xf>
    <xf numFmtId="176" fontId="0" fillId="0" borderId="48" xfId="0" applyNumberFormat="1" applyBorder="1">
      <alignment vertical="center"/>
    </xf>
    <xf numFmtId="176" fontId="0" fillId="4" borderId="70" xfId="0" applyNumberFormat="1" applyFill="1" applyBorder="1">
      <alignment vertical="center"/>
    </xf>
    <xf numFmtId="176" fontId="0" fillId="4" borderId="68" xfId="0" applyNumberFormat="1" applyFill="1" applyBorder="1">
      <alignment vertical="center"/>
    </xf>
    <xf numFmtId="176" fontId="0" fillId="4" borderId="71" xfId="0" applyNumberFormat="1" applyFill="1" applyBorder="1">
      <alignment vertical="center"/>
    </xf>
    <xf numFmtId="176" fontId="0" fillId="0" borderId="70" xfId="0" applyNumberFormat="1" applyBorder="1">
      <alignment vertical="center"/>
    </xf>
    <xf numFmtId="176" fontId="0" fillId="0" borderId="72" xfId="0" applyNumberFormat="1" applyBorder="1">
      <alignment vertical="center"/>
    </xf>
    <xf numFmtId="176" fontId="0" fillId="11" borderId="0" xfId="0" applyNumberFormat="1" applyFill="1">
      <alignment vertical="center"/>
    </xf>
    <xf numFmtId="0" fontId="0" fillId="11" borderId="0" xfId="0" applyFill="1">
      <alignment vertical="center"/>
    </xf>
    <xf numFmtId="176" fontId="0" fillId="2" borderId="0" xfId="0" applyNumberFormat="1" applyFill="1">
      <alignment vertical="center"/>
    </xf>
    <xf numFmtId="176" fontId="0" fillId="4" borderId="49" xfId="0" applyNumberFormat="1" applyFill="1" applyBorder="1">
      <alignment vertical="center"/>
    </xf>
    <xf numFmtId="176" fontId="0" fillId="0" borderId="73" xfId="0" applyNumberFormat="1" applyBorder="1">
      <alignment vertical="center"/>
    </xf>
    <xf numFmtId="0" fontId="0" fillId="0" borderId="20" xfId="0" applyBorder="1">
      <alignment vertical="center"/>
    </xf>
    <xf numFmtId="0" fontId="0" fillId="0" borderId="21" xfId="0" applyBorder="1">
      <alignment vertical="center"/>
    </xf>
    <xf numFmtId="0" fontId="0" fillId="0" borderId="22" xfId="0" applyBorder="1">
      <alignment vertical="center"/>
    </xf>
    <xf numFmtId="0" fontId="0" fillId="4" borderId="38" xfId="0" applyFill="1" applyBorder="1">
      <alignment vertical="center"/>
    </xf>
    <xf numFmtId="0" fontId="0" fillId="5" borderId="2" xfId="0" applyFill="1" applyBorder="1">
      <alignment vertical="center"/>
    </xf>
    <xf numFmtId="0" fontId="24" fillId="12" borderId="0" xfId="0" applyFont="1" applyFill="1">
      <alignment vertical="center"/>
    </xf>
    <xf numFmtId="176" fontId="0" fillId="9" borderId="75" xfId="0" applyNumberFormat="1" applyFill="1" applyBorder="1">
      <alignment vertical="center"/>
    </xf>
    <xf numFmtId="176" fontId="0" fillId="9" borderId="51" xfId="0" applyNumberFormat="1" applyFill="1" applyBorder="1">
      <alignment vertical="center"/>
    </xf>
    <xf numFmtId="176" fontId="0" fillId="2" borderId="23" xfId="0" quotePrefix="1" applyNumberFormat="1" applyFill="1" applyBorder="1">
      <alignment vertical="center"/>
    </xf>
    <xf numFmtId="176" fontId="0" fillId="2" borderId="1" xfId="0" applyNumberFormat="1" applyFill="1" applyBorder="1" applyAlignment="1">
      <alignment horizontal="left" vertical="center"/>
    </xf>
    <xf numFmtId="176" fontId="0" fillId="0" borderId="58" xfId="0" applyNumberFormat="1" applyBorder="1" applyAlignment="1"/>
    <xf numFmtId="176" fontId="0" fillId="0" borderId="0" xfId="0" applyNumberFormat="1" applyAlignment="1"/>
    <xf numFmtId="0" fontId="0" fillId="2" borderId="1" xfId="0" applyFill="1" applyBorder="1" applyAlignment="1">
      <alignment horizontal="center" vertical="center"/>
    </xf>
    <xf numFmtId="0" fontId="0" fillId="5" borderId="1" xfId="0" applyFill="1" applyBorder="1" applyAlignment="1">
      <alignment horizontal="center" vertical="center"/>
    </xf>
    <xf numFmtId="176" fontId="0" fillId="5" borderId="74" xfId="0" applyNumberFormat="1" applyFill="1" applyBorder="1" applyAlignment="1">
      <alignment horizontal="center" vertical="center"/>
    </xf>
    <xf numFmtId="176" fontId="0" fillId="5" borderId="1" xfId="0" applyNumberFormat="1" applyFill="1" applyBorder="1" applyAlignment="1">
      <alignment horizontal="center" vertical="center"/>
    </xf>
    <xf numFmtId="176" fontId="0" fillId="5" borderId="45" xfId="0" applyNumberFormat="1" applyFill="1" applyBorder="1" applyAlignment="1">
      <alignment horizontal="center" vertical="center"/>
    </xf>
    <xf numFmtId="176" fontId="0" fillId="10" borderId="1" xfId="0" applyNumberFormat="1" applyFill="1" applyBorder="1" applyAlignment="1">
      <alignment horizontal="center"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6" borderId="45" xfId="0" applyFill="1" applyBorder="1" applyAlignment="1">
      <alignment horizontal="center" vertical="center"/>
    </xf>
    <xf numFmtId="0" fontId="0" fillId="5" borderId="23" xfId="0" applyFill="1" applyBorder="1" applyAlignment="1">
      <alignment horizontal="center" vertical="center"/>
    </xf>
    <xf numFmtId="0" fontId="0" fillId="5" borderId="46" xfId="0" applyFill="1" applyBorder="1" applyAlignment="1">
      <alignment horizontal="center" vertical="center"/>
    </xf>
    <xf numFmtId="0" fontId="0" fillId="0" borderId="0" xfId="0" applyAlignment="1">
      <alignment horizontal="center" vertical="center"/>
    </xf>
    <xf numFmtId="0" fontId="0" fillId="6" borderId="0" xfId="0" applyFill="1" applyAlignment="1">
      <alignment horizontal="center" vertical="center"/>
    </xf>
    <xf numFmtId="176" fontId="0" fillId="0" borderId="0" xfId="0" applyNumberFormat="1" applyAlignment="1">
      <alignment horizontal="left" vertical="center"/>
    </xf>
    <xf numFmtId="176" fontId="0" fillId="0" borderId="9" xfId="0" applyNumberFormat="1" applyBorder="1" applyAlignment="1">
      <alignment horizontal="left" vertical="center"/>
    </xf>
    <xf numFmtId="176" fontId="3" fillId="0" borderId="1" xfId="0" applyNumberFormat="1" applyFont="1" applyBorder="1" applyAlignment="1">
      <alignment horizontal="left" vertical="center"/>
    </xf>
    <xf numFmtId="176" fontId="3" fillId="0" borderId="2" xfId="0" applyNumberFormat="1" applyFont="1" applyBorder="1" applyAlignment="1">
      <alignment horizontal="left" vertical="center"/>
    </xf>
    <xf numFmtId="176" fontId="3" fillId="0" borderId="4" xfId="0" applyNumberFormat="1" applyFont="1" applyBorder="1" applyAlignment="1">
      <alignment horizontal="left" vertical="center"/>
    </xf>
    <xf numFmtId="176" fontId="3" fillId="0" borderId="3" xfId="0" applyNumberFormat="1" applyFont="1" applyBorder="1" applyAlignment="1">
      <alignment horizontal="left" vertical="center"/>
    </xf>
    <xf numFmtId="177" fontId="3" fillId="0" borderId="1" xfId="0" applyNumberFormat="1" applyFont="1" applyBorder="1" applyAlignment="1">
      <alignment horizontal="center" vertical="center"/>
    </xf>
    <xf numFmtId="176" fontId="3" fillId="0" borderId="1" xfId="0" applyNumberFormat="1" applyFont="1" applyBorder="1" applyAlignment="1">
      <alignment horizontal="center" vertical="center"/>
    </xf>
    <xf numFmtId="176" fontId="0" fillId="2" borderId="43" xfId="0" applyNumberFormat="1" applyFill="1" applyBorder="1">
      <alignment vertical="center"/>
    </xf>
    <xf numFmtId="176" fontId="0" fillId="2" borderId="47" xfId="0" applyNumberFormat="1" applyFill="1" applyBorder="1">
      <alignment vertical="center"/>
    </xf>
    <xf numFmtId="176" fontId="0" fillId="2" borderId="11" xfId="0" applyNumberFormat="1" applyFill="1" applyBorder="1">
      <alignment vertical="center"/>
    </xf>
    <xf numFmtId="176" fontId="12" fillId="0" borderId="48" xfId="1" applyNumberFormat="1" applyFont="1" applyBorder="1" applyAlignment="1">
      <alignment vertical="center"/>
    </xf>
    <xf numFmtId="176" fontId="12" fillId="0" borderId="49" xfId="1" applyNumberFormat="1" applyFont="1" applyBorder="1" applyAlignment="1">
      <alignment vertical="center"/>
    </xf>
    <xf numFmtId="176" fontId="12" fillId="0" borderId="50" xfId="1" applyNumberFormat="1" applyFont="1" applyBorder="1" applyAlignment="1">
      <alignment vertical="center"/>
    </xf>
    <xf numFmtId="176" fontId="12" fillId="0" borderId="23" xfId="1" applyNumberFormat="1" applyFont="1" applyBorder="1" applyAlignment="1">
      <alignment vertical="center"/>
    </xf>
    <xf numFmtId="176" fontId="12" fillId="0" borderId="46" xfId="1" applyNumberFormat="1" applyFont="1" applyBorder="1" applyAlignment="1">
      <alignment vertical="center"/>
    </xf>
    <xf numFmtId="176" fontId="12" fillId="0" borderId="14" xfId="1" applyNumberFormat="1" applyFont="1" applyBorder="1" applyAlignment="1">
      <alignment vertical="center"/>
    </xf>
  </cellXfs>
  <cellStyles count="3">
    <cellStyle name="ハイパーリンク" xfId="1" builtinId="8"/>
    <cellStyle name="標準" xfId="0" builtinId="0"/>
    <cellStyle name="標準 2" xfId="2" xr:uid="{D3427C1F-D7F1-4230-A382-247E5060DB88}"/>
  </cellStyles>
  <dxfs count="5">
    <dxf>
      <fill>
        <patternFill>
          <bgColor rgb="FFFFC7CE"/>
        </patternFill>
      </fill>
    </dxf>
    <dxf>
      <font>
        <color auto="1"/>
      </font>
      <fill>
        <patternFill>
          <bgColor theme="5" tint="0.39994506668294322"/>
        </patternFill>
      </fill>
    </dxf>
    <dxf>
      <font>
        <color rgb="FF9C0006"/>
      </font>
      <fill>
        <patternFill>
          <bgColor rgb="FFFFC7CE"/>
        </patternFill>
      </fill>
    </dxf>
    <dxf>
      <fill>
        <patternFill>
          <bgColor theme="5" tint="0.39994506668294322"/>
        </patternFill>
      </fill>
    </dxf>
    <dxf>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主翼平面形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6.668941002134629E-2"/>
          <c:y val="0.20492519685039368"/>
          <c:w val="0.90662306629776335"/>
          <c:h val="0.74014960629921256"/>
        </c:manualLayout>
      </c:layout>
      <c:scatterChart>
        <c:scatterStyle val="lineMarker"/>
        <c:varyColors val="0"/>
        <c:ser>
          <c:idx val="0"/>
          <c:order val="0"/>
          <c:tx>
            <c:v>前縁位置</c:v>
          </c:tx>
          <c:spPr>
            <a:ln w="19050" cap="rnd">
              <a:solidFill>
                <a:schemeClr val="accent1"/>
              </a:solidFill>
              <a:round/>
            </a:ln>
            <a:effectLst/>
          </c:spPr>
          <c:marker>
            <c:symbol val="none"/>
          </c:marker>
          <c:xVal>
            <c:numLit>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7.4500000000000064</c:v>
              </c:pt>
              <c:pt idx="46">
                <c:v>7.6000000000000068</c:v>
              </c:pt>
              <c:pt idx="47">
                <c:v>7.7500000000000071</c:v>
              </c:pt>
              <c:pt idx="48">
                <c:v>7.9000000000000075</c:v>
              </c:pt>
              <c:pt idx="49">
                <c:v>8.0500000000000078</c:v>
              </c:pt>
              <c:pt idx="50">
                <c:v>8.2000000000000082</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12.200000000000015</c:v>
              </c:pt>
              <c:pt idx="77">
                <c:v>12.350000000000016</c:v>
              </c:pt>
              <c:pt idx="78">
                <c:v>12.500000000000016</c:v>
              </c:pt>
              <c:pt idx="79">
                <c:v>12.650000000000016</c:v>
              </c:pt>
              <c:pt idx="80">
                <c:v>12.800000000000017</c:v>
              </c:pt>
              <c:pt idx="81">
                <c:v>12.950000000000017</c:v>
              </c:pt>
              <c:pt idx="82">
                <c:v>13.100000000000017</c:v>
              </c:pt>
            </c:numLit>
          </c:xVal>
          <c:yVal>
            <c:numLit>
              <c:formatCode>0.000_ ;[Red]\-0.000\ </c:formatCode>
              <c:ptCount val="100"/>
              <c:pt idx="0">
                <c:v>0.38689999999999997</c:v>
              </c:pt>
              <c:pt idx="1">
                <c:v>0.38689999999999997</c:v>
              </c:pt>
              <c:pt idx="2">
                <c:v>0.38689999999999997</c:v>
              </c:pt>
              <c:pt idx="3">
                <c:v>0.38689999999999997</c:v>
              </c:pt>
              <c:pt idx="4">
                <c:v>0.38689999999999997</c:v>
              </c:pt>
              <c:pt idx="5">
                <c:v>0.38689999999999997</c:v>
              </c:pt>
              <c:pt idx="6">
                <c:v>0.38689999999999997</c:v>
              </c:pt>
              <c:pt idx="7">
                <c:v>0.38689999999999997</c:v>
              </c:pt>
              <c:pt idx="8">
                <c:v>0.38689999999999997</c:v>
              </c:pt>
              <c:pt idx="9">
                <c:v>0.38689999999999997</c:v>
              </c:pt>
              <c:pt idx="10">
                <c:v>0.38689999999999997</c:v>
              </c:pt>
              <c:pt idx="11">
                <c:v>0.38689999999999997</c:v>
              </c:pt>
              <c:pt idx="12">
                <c:v>0.38689999999999997</c:v>
              </c:pt>
              <c:pt idx="13">
                <c:v>0.38487222222222228</c:v>
              </c:pt>
              <c:pt idx="14">
                <c:v>0.38284444444444443</c:v>
              </c:pt>
              <c:pt idx="15">
                <c:v>0.38081666666666669</c:v>
              </c:pt>
              <c:pt idx="16">
                <c:v>0.3787888888888889</c:v>
              </c:pt>
              <c:pt idx="17">
                <c:v>0.37676111111111116</c:v>
              </c:pt>
              <c:pt idx="18">
                <c:v>0.37473333333333336</c:v>
              </c:pt>
              <c:pt idx="19">
                <c:v>0.37270555555555551</c:v>
              </c:pt>
              <c:pt idx="20">
                <c:v>0.37067777777777777</c:v>
              </c:pt>
              <c:pt idx="21">
                <c:v>0.36864999999999998</c:v>
              </c:pt>
              <c:pt idx="22">
                <c:v>0.36662222222222218</c:v>
              </c:pt>
              <c:pt idx="23">
                <c:v>0.36459444444444444</c:v>
              </c:pt>
              <c:pt idx="24">
                <c:v>0.36256666666666665</c:v>
              </c:pt>
              <c:pt idx="25">
                <c:v>0.36053888888888885</c:v>
              </c:pt>
              <c:pt idx="26">
                <c:v>0.35851111111111106</c:v>
              </c:pt>
              <c:pt idx="27">
                <c:v>0.35648333333333332</c:v>
              </c:pt>
              <c:pt idx="28">
                <c:v>0.35377962962962961</c:v>
              </c:pt>
              <c:pt idx="29">
                <c:v>0.35175185185185182</c:v>
              </c:pt>
              <c:pt idx="30">
                <c:v>0.34875392156862739</c:v>
              </c:pt>
              <c:pt idx="31">
                <c:v>0.3438156862745097</c:v>
              </c:pt>
              <c:pt idx="32">
                <c:v>0.33887745098039213</c:v>
              </c:pt>
              <c:pt idx="33">
                <c:v>0.33393921568627438</c:v>
              </c:pt>
              <c:pt idx="34">
                <c:v>0.32900098039215675</c:v>
              </c:pt>
              <c:pt idx="35">
                <c:v>0.32406274509803912</c:v>
              </c:pt>
              <c:pt idx="36">
                <c:v>0.31912450980392137</c:v>
              </c:pt>
              <c:pt idx="37">
                <c:v>0.31418627450980374</c:v>
              </c:pt>
              <c:pt idx="38">
                <c:v>0.30924803921568611</c:v>
              </c:pt>
              <c:pt idx="39">
                <c:v>0.30430980392156848</c:v>
              </c:pt>
              <c:pt idx="40">
                <c:v>0.29937156862745079</c:v>
              </c:pt>
              <c:pt idx="41">
                <c:v>0.29443333333333316</c:v>
              </c:pt>
              <c:pt idx="42">
                <c:v>0.28949509803921547</c:v>
              </c:pt>
              <c:pt idx="43">
                <c:v>0.28455686274509784</c:v>
              </c:pt>
              <c:pt idx="44">
                <c:v>0.27961862745098015</c:v>
              </c:pt>
              <c:pt idx="45">
                <c:v>0.27468039215686252</c:v>
              </c:pt>
              <c:pt idx="46">
                <c:v>0.26974215686274483</c:v>
              </c:pt>
              <c:pt idx="47">
                <c:v>0.26498999999999984</c:v>
              </c:pt>
              <c:pt idx="48">
                <c:v>0.26060999999999984</c:v>
              </c:pt>
              <c:pt idx="49">
                <c:v>0.25622999999999979</c:v>
              </c:pt>
              <c:pt idx="50">
                <c:v>0.2518499999999998</c:v>
              </c:pt>
              <c:pt idx="51">
                <c:v>0.24600999999999981</c:v>
              </c:pt>
              <c:pt idx="52">
                <c:v>0.24162999999999979</c:v>
              </c:pt>
              <c:pt idx="53">
                <c:v>0.23724999999999977</c:v>
              </c:pt>
              <c:pt idx="54">
                <c:v>0.23286999999999974</c:v>
              </c:pt>
              <c:pt idx="55">
                <c:v>0.22848999999999975</c:v>
              </c:pt>
              <c:pt idx="56">
                <c:v>0.22410999999999975</c:v>
              </c:pt>
              <c:pt idx="57">
                <c:v>0.21972999999999973</c:v>
              </c:pt>
              <c:pt idx="58">
                <c:v>0.21534999999999974</c:v>
              </c:pt>
              <c:pt idx="59">
                <c:v>0.21096999999999974</c:v>
              </c:pt>
              <c:pt idx="60">
                <c:v>0.20658999999999969</c:v>
              </c:pt>
              <c:pt idx="61">
                <c:v>0.2022099999999997</c:v>
              </c:pt>
              <c:pt idx="62">
                <c:v>0.19814285714285684</c:v>
              </c:pt>
              <c:pt idx="63">
                <c:v>0.19423214285714252</c:v>
              </c:pt>
              <c:pt idx="64">
                <c:v>0.19032142857142825</c:v>
              </c:pt>
              <c:pt idx="65">
                <c:v>0.18641071428571396</c:v>
              </c:pt>
              <c:pt idx="66">
                <c:v>0.18249999999999966</c:v>
              </c:pt>
              <c:pt idx="67">
                <c:v>0.17858928571428534</c:v>
              </c:pt>
              <c:pt idx="68">
                <c:v>0.17467857142857107</c:v>
              </c:pt>
              <c:pt idx="69">
                <c:v>0.17076785714285678</c:v>
              </c:pt>
              <c:pt idx="70">
                <c:v>0.16685714285714251</c:v>
              </c:pt>
              <c:pt idx="71">
                <c:v>0.16294642857142821</c:v>
              </c:pt>
              <c:pt idx="72">
                <c:v>0.15903571428571392</c:v>
              </c:pt>
              <c:pt idx="73">
                <c:v>0.1551249999999996</c:v>
              </c:pt>
              <c:pt idx="74">
                <c:v>0.15121428571428533</c:v>
              </c:pt>
              <c:pt idx="75">
                <c:v>0.14730357142857101</c:v>
              </c:pt>
              <c:pt idx="76">
                <c:v>0.14339285714285688</c:v>
              </c:pt>
              <c:pt idx="77">
                <c:v>0.14078571428571401</c:v>
              </c:pt>
              <c:pt idx="78">
                <c:v>0.13817857142857112</c:v>
              </c:pt>
              <c:pt idx="79">
                <c:v>0.13557142857142826</c:v>
              </c:pt>
              <c:pt idx="80">
                <c:v>0.1329642857142854</c:v>
              </c:pt>
              <c:pt idx="81">
                <c:v>0.13035714285714256</c:v>
              </c:pt>
              <c:pt idx="82">
                <c:v>0.12775</c:v>
              </c:pt>
            </c:numLit>
          </c:yVal>
          <c:smooth val="0"/>
          <c:extLst>
            <c:ext xmlns:c16="http://schemas.microsoft.com/office/drawing/2014/chart" uri="{C3380CC4-5D6E-409C-BE32-E72D297353CC}">
              <c16:uniqueId val="{00000000-F953-47F9-ADAA-5823801D5422}"/>
            </c:ext>
          </c:extLst>
        </c:ser>
        <c:ser>
          <c:idx val="3"/>
          <c:order val="1"/>
          <c:tx>
            <c:v>後縁位置</c:v>
          </c:tx>
          <c:spPr>
            <a:ln w="19050" cap="rnd">
              <a:solidFill>
                <a:schemeClr val="accent4"/>
              </a:solidFill>
              <a:round/>
            </a:ln>
            <a:effectLst/>
          </c:spPr>
          <c:marker>
            <c:symbol val="none"/>
          </c:marker>
          <c:xVal>
            <c:numLit>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7.4500000000000064</c:v>
              </c:pt>
              <c:pt idx="46">
                <c:v>7.6000000000000068</c:v>
              </c:pt>
              <c:pt idx="47">
                <c:v>7.7500000000000071</c:v>
              </c:pt>
              <c:pt idx="48">
                <c:v>7.9000000000000075</c:v>
              </c:pt>
              <c:pt idx="49">
                <c:v>8.0500000000000078</c:v>
              </c:pt>
              <c:pt idx="50">
                <c:v>8.2000000000000082</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12.200000000000015</c:v>
              </c:pt>
              <c:pt idx="77">
                <c:v>12.350000000000016</c:v>
              </c:pt>
              <c:pt idx="78">
                <c:v>12.500000000000016</c:v>
              </c:pt>
              <c:pt idx="79">
                <c:v>12.650000000000016</c:v>
              </c:pt>
              <c:pt idx="80">
                <c:v>12.800000000000017</c:v>
              </c:pt>
              <c:pt idx="81">
                <c:v>12.950000000000017</c:v>
              </c:pt>
              <c:pt idx="82">
                <c:v>13.100000000000017</c:v>
              </c:pt>
            </c:numLit>
          </c:xVal>
          <c:yVal>
            <c:numLit>
              <c:formatCode>0.000_ ;[Red]\-0.000\ </c:formatCode>
              <c:ptCount val="100"/>
              <c:pt idx="0">
                <c:v>-0.67310000000000003</c:v>
              </c:pt>
              <c:pt idx="1">
                <c:v>-0.67310000000000003</c:v>
              </c:pt>
              <c:pt idx="2">
                <c:v>-0.67310000000000003</c:v>
              </c:pt>
              <c:pt idx="3">
                <c:v>-0.67310000000000003</c:v>
              </c:pt>
              <c:pt idx="4">
                <c:v>-0.67310000000000003</c:v>
              </c:pt>
              <c:pt idx="5">
                <c:v>-0.67310000000000003</c:v>
              </c:pt>
              <c:pt idx="6">
                <c:v>-0.67310000000000003</c:v>
              </c:pt>
              <c:pt idx="7">
                <c:v>-0.67310000000000003</c:v>
              </c:pt>
              <c:pt idx="8">
                <c:v>-0.67310000000000003</c:v>
              </c:pt>
              <c:pt idx="9">
                <c:v>-0.67310000000000003</c:v>
              </c:pt>
              <c:pt idx="10">
                <c:v>-0.67310000000000003</c:v>
              </c:pt>
              <c:pt idx="11">
                <c:v>-0.67310000000000003</c:v>
              </c:pt>
              <c:pt idx="12">
                <c:v>-0.67310000000000003</c:v>
              </c:pt>
              <c:pt idx="13">
                <c:v>-0.66957222222222224</c:v>
              </c:pt>
              <c:pt idx="14">
                <c:v>-0.66604444444444455</c:v>
              </c:pt>
              <c:pt idx="15">
                <c:v>-0.66251666666666675</c:v>
              </c:pt>
              <c:pt idx="16">
                <c:v>-0.65898888888888907</c:v>
              </c:pt>
              <c:pt idx="17">
                <c:v>-0.65546111111111127</c:v>
              </c:pt>
              <c:pt idx="18">
                <c:v>-0.65193333333333348</c:v>
              </c:pt>
              <c:pt idx="19">
                <c:v>-0.64840555555555557</c:v>
              </c:pt>
              <c:pt idx="20">
                <c:v>-0.64487777777777777</c:v>
              </c:pt>
              <c:pt idx="21">
                <c:v>-0.64135000000000009</c:v>
              </c:pt>
              <c:pt idx="22">
                <c:v>-0.63782222222222229</c:v>
              </c:pt>
              <c:pt idx="23">
                <c:v>-0.63429444444444449</c:v>
              </c:pt>
              <c:pt idx="24">
                <c:v>-0.6307666666666667</c:v>
              </c:pt>
              <c:pt idx="25">
                <c:v>-0.6272388888888889</c:v>
              </c:pt>
              <c:pt idx="26">
                <c:v>-0.62371111111111111</c:v>
              </c:pt>
              <c:pt idx="27">
                <c:v>-0.62018333333333309</c:v>
              </c:pt>
              <c:pt idx="28">
                <c:v>-0.61547962962962965</c:v>
              </c:pt>
              <c:pt idx="29">
                <c:v>-0.61195185185185186</c:v>
              </c:pt>
              <c:pt idx="30">
                <c:v>-0.60673627450980383</c:v>
              </c:pt>
              <c:pt idx="31">
                <c:v>-0.59814509803921556</c:v>
              </c:pt>
              <c:pt idx="32">
                <c:v>-0.58955392156862729</c:v>
              </c:pt>
              <c:pt idx="33">
                <c:v>-0.58096274509803902</c:v>
              </c:pt>
              <c:pt idx="34">
                <c:v>-0.57237156862745076</c:v>
              </c:pt>
              <c:pt idx="35">
                <c:v>-0.56378039215686249</c:v>
              </c:pt>
              <c:pt idx="36">
                <c:v>-0.55518921568627433</c:v>
              </c:pt>
              <c:pt idx="37">
                <c:v>-0.54659803921568606</c:v>
              </c:pt>
              <c:pt idx="38">
                <c:v>-0.53800686274509779</c:v>
              </c:pt>
              <c:pt idx="39">
                <c:v>-0.52941568627450952</c:v>
              </c:pt>
              <c:pt idx="40">
                <c:v>-0.52082450980392125</c:v>
              </c:pt>
              <c:pt idx="41">
                <c:v>-0.5122333333333331</c:v>
              </c:pt>
              <c:pt idx="42">
                <c:v>-0.50364215686274472</c:v>
              </c:pt>
              <c:pt idx="43">
                <c:v>-0.49505098039215645</c:v>
              </c:pt>
              <c:pt idx="44">
                <c:v>-0.48645980392156823</c:v>
              </c:pt>
              <c:pt idx="45">
                <c:v>-0.47786862745097997</c:v>
              </c:pt>
              <c:pt idx="46">
                <c:v>-0.46927745098039175</c:v>
              </c:pt>
              <c:pt idx="47">
                <c:v>-0.4610099999999997</c:v>
              </c:pt>
              <c:pt idx="48">
                <c:v>-0.45338999999999968</c:v>
              </c:pt>
              <c:pt idx="49">
                <c:v>-0.44576999999999961</c:v>
              </c:pt>
              <c:pt idx="50">
                <c:v>-0.4381499999999996</c:v>
              </c:pt>
              <c:pt idx="51">
                <c:v>-0.42798999999999976</c:v>
              </c:pt>
              <c:pt idx="52">
                <c:v>-0.42036999999999969</c:v>
              </c:pt>
              <c:pt idx="53">
                <c:v>-0.41274999999999973</c:v>
              </c:pt>
              <c:pt idx="54">
                <c:v>-0.4051299999999996</c:v>
              </c:pt>
              <c:pt idx="55">
                <c:v>-0.39750999999999959</c:v>
              </c:pt>
              <c:pt idx="56">
                <c:v>-0.38988999999999957</c:v>
              </c:pt>
              <c:pt idx="57">
                <c:v>-0.38226999999999955</c:v>
              </c:pt>
              <c:pt idx="58">
                <c:v>-0.37464999999999959</c:v>
              </c:pt>
              <c:pt idx="59">
                <c:v>-0.36702999999999952</c:v>
              </c:pt>
              <c:pt idx="60">
                <c:v>-0.35940999999999945</c:v>
              </c:pt>
              <c:pt idx="61">
                <c:v>-0.35178999999999949</c:v>
              </c:pt>
              <c:pt idx="62">
                <c:v>-0.3447142857142852</c:v>
              </c:pt>
              <c:pt idx="63">
                <c:v>-0.33791071428571373</c:v>
              </c:pt>
              <c:pt idx="64">
                <c:v>-0.33110714285714232</c:v>
              </c:pt>
              <c:pt idx="65">
                <c:v>-0.3243035714285708</c:v>
              </c:pt>
              <c:pt idx="66">
                <c:v>-0.31749999999999945</c:v>
              </c:pt>
              <c:pt idx="67">
                <c:v>-0.31069642857142798</c:v>
              </c:pt>
              <c:pt idx="68">
                <c:v>-0.30389285714285658</c:v>
              </c:pt>
              <c:pt idx="69">
                <c:v>-0.29708928571428506</c:v>
              </c:pt>
              <c:pt idx="70">
                <c:v>-0.2902857142857137</c:v>
              </c:pt>
              <c:pt idx="71">
                <c:v>-0.28348214285714218</c:v>
              </c:pt>
              <c:pt idx="72">
                <c:v>-0.27667857142857077</c:v>
              </c:pt>
              <c:pt idx="73">
                <c:v>-0.26987499999999931</c:v>
              </c:pt>
              <c:pt idx="74">
                <c:v>-0.26307142857142796</c:v>
              </c:pt>
              <c:pt idx="75">
                <c:v>-0.25626785714285649</c:v>
              </c:pt>
              <c:pt idx="76">
                <c:v>-0.24946428571428525</c:v>
              </c:pt>
              <c:pt idx="77">
                <c:v>-0.244928571428571</c:v>
              </c:pt>
              <c:pt idx="78">
                <c:v>-0.24039285714285666</c:v>
              </c:pt>
              <c:pt idx="79">
                <c:v>-0.2358571428571424</c:v>
              </c:pt>
              <c:pt idx="80">
                <c:v>-0.23132142857142804</c:v>
              </c:pt>
              <c:pt idx="81">
                <c:v>-0.22678571428571376</c:v>
              </c:pt>
              <c:pt idx="82">
                <c:v>-0.22224999999999998</c:v>
              </c:pt>
            </c:numLit>
          </c:yVal>
          <c:smooth val="0"/>
          <c:extLst>
            <c:ext xmlns:c16="http://schemas.microsoft.com/office/drawing/2014/chart" uri="{C3380CC4-5D6E-409C-BE32-E72D297353CC}">
              <c16:uniqueId val="{00000001-F953-47F9-ADAA-5823801D5422}"/>
            </c:ext>
          </c:extLst>
        </c:ser>
        <c:dLbls>
          <c:showLegendKey val="0"/>
          <c:showVal val="0"/>
          <c:showCatName val="0"/>
          <c:showSerName val="0"/>
          <c:showPercent val="0"/>
          <c:showBubbleSize val="0"/>
        </c:dLbls>
        <c:axId val="588694912"/>
        <c:axId val="588716544"/>
      </c:scatterChart>
      <c:valAx>
        <c:axId val="588694912"/>
        <c:scaling>
          <c:orientation val="minMax"/>
          <c:max val="1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0.000_ ;[Red]\-0.0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716544"/>
        <c:crosses val="autoZero"/>
        <c:crossBetween val="midCat"/>
        <c:majorUnit val="0.5"/>
      </c:valAx>
      <c:valAx>
        <c:axId val="588716544"/>
        <c:scaling>
          <c:orientation val="minMax"/>
          <c:max val="0.4"/>
          <c:min val="-0.7000000000000000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a:t>
                </a:r>
                <a:r>
                  <a:rPr lang="en-US" altLang="ja-JP" baseline="0"/>
                  <a:t> [m]</a:t>
                </a:r>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694912"/>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TR797</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'主翼(平面形)'!$C$22:$C$31</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'主翼(平面形)'!$I$22:$I$31</c:f>
              <c:numCache>
                <c:formatCode>General</c:formatCode>
                <c:ptCount val="10"/>
                <c:pt idx="0">
                  <c:v>5.7095302732831206</c:v>
                </c:pt>
                <c:pt idx="1">
                  <c:v>5.5657161949209319</c:v>
                </c:pt>
                <c:pt idx="2">
                  <c:v>5.1431546166898139</c:v>
                </c:pt>
                <c:pt idx="3">
                  <c:v>4.1895926771761145</c:v>
                </c:pt>
                <c:pt idx="4">
                  <c:v>3.8681511789206811</c:v>
                </c:pt>
                <c:pt idx="5">
                  <c:v>2.4194919404524011</c:v>
                </c:pt>
                <c:pt idx="6">
                  <c:v>1.7009570955979001</c:v>
                </c:pt>
                <c:pt idx="7">
                  <c:v>1.4025037221235759</c:v>
                </c:pt>
                <c:pt idx="8">
                  <c:v>0.78998877568081027</c:v>
                </c:pt>
                <c:pt idx="9">
                  <c:v>-9.797228417210228E-3</c:v>
                </c:pt>
              </c:numCache>
            </c:numRef>
          </c:yVal>
          <c:smooth val="0"/>
          <c:extLst>
            <c:ext xmlns:c16="http://schemas.microsoft.com/office/drawing/2014/chart" uri="{C3380CC4-5D6E-409C-BE32-E72D297353CC}">
              <c16:uniqueId val="{00000000-F4D4-4C85-A788-2CD3AE4DF7F1}"/>
            </c:ext>
          </c:extLst>
        </c:ser>
        <c:ser>
          <c:idx val="1"/>
          <c:order val="1"/>
          <c:tx>
            <c:v>楕円循環</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'主翼(平面形)'!$C$22:$C$31</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'主翼(平面形)'!$H$22:$H$31</c:f>
              <c:numCache>
                <c:formatCode>General</c:formatCode>
                <c:ptCount val="10"/>
                <c:pt idx="0">
                  <c:v>5.2922463816834568</c:v>
                </c:pt>
                <c:pt idx="1">
                  <c:v>5.2103729276467297</c:v>
                </c:pt>
                <c:pt idx="2">
                  <c:v>4.9205955712063485</c:v>
                </c:pt>
                <c:pt idx="3">
                  <c:v>4.3194070100365556</c:v>
                </c:pt>
                <c:pt idx="4">
                  <c:v>4.0463774342795817</c:v>
                </c:pt>
                <c:pt idx="5">
                  <c:v>2.8124285812620351</c:v>
                </c:pt>
                <c:pt idx="6">
                  <c:v>2.078247850846791</c:v>
                </c:pt>
                <c:pt idx="7">
                  <c:v>1.7806835719877037</c:v>
                </c:pt>
                <c:pt idx="8">
                  <c:v>1.2024429102217498</c:v>
                </c:pt>
                <c:pt idx="9">
                  <c:v>0.5257271171804927</c:v>
                </c:pt>
              </c:numCache>
            </c:numRef>
          </c:yVal>
          <c:smooth val="0"/>
          <c:extLst>
            <c:ext xmlns:c16="http://schemas.microsoft.com/office/drawing/2014/chart" uri="{C3380CC4-5D6E-409C-BE32-E72D297353CC}">
              <c16:uniqueId val="{00000001-F4D4-4C85-A788-2CD3AE4DF7F1}"/>
            </c:ext>
          </c:extLst>
        </c:ser>
        <c:ser>
          <c:idx val="2"/>
          <c:order val="2"/>
          <c:tx>
            <c:v>LLT</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'主翼(平面形)'!$C$22:$C$31</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'主翼(平面形)'!$J$22:$J$32</c:f>
              <c:numCache>
                <c:formatCode>General</c:formatCode>
                <c:ptCount val="11"/>
                <c:pt idx="0">
                  <c:v>5.7978464707412201</c:v>
                </c:pt>
                <c:pt idx="1">
                  <c:v>5.6814220816290515</c:v>
                </c:pt>
                <c:pt idx="2">
                  <c:v>5.196644135995351</c:v>
                </c:pt>
                <c:pt idx="3">
                  <c:v>4.1799667892181169</c:v>
                </c:pt>
                <c:pt idx="4">
                  <c:v>3.7860382604059595</c:v>
                </c:pt>
                <c:pt idx="5">
                  <c:v>2.4160560411518475</c:v>
                </c:pt>
                <c:pt idx="6">
                  <c:v>1.6377840401876136</c:v>
                </c:pt>
                <c:pt idx="7">
                  <c:v>1.3135300247110773</c:v>
                </c:pt>
                <c:pt idx="8">
                  <c:v>0.74516353432589066</c:v>
                </c:pt>
              </c:numCache>
            </c:numRef>
          </c:yVal>
          <c:smooth val="0"/>
          <c:extLst>
            <c:ext xmlns:c16="http://schemas.microsoft.com/office/drawing/2014/chart" uri="{C3380CC4-5D6E-409C-BE32-E72D297353CC}">
              <c16:uniqueId val="{00000000-504F-40DD-971C-4994D9CD2692}"/>
            </c:ext>
          </c:extLst>
        </c:ser>
        <c:dLbls>
          <c:showLegendKey val="0"/>
          <c:showVal val="0"/>
          <c:showCatName val="0"/>
          <c:showSerName val="0"/>
          <c:showPercent val="0"/>
          <c:showBubbleSize val="0"/>
        </c:dLbls>
        <c:axId val="382505263"/>
        <c:axId val="382497103"/>
      </c:scatterChart>
      <c:valAx>
        <c:axId val="3825052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2497103"/>
        <c:crosses val="autoZero"/>
        <c:crossBetween val="midCat"/>
      </c:valAx>
      <c:valAx>
        <c:axId val="3824971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250526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0138018161818448E-2"/>
          <c:y val="9.2416927116124439E-2"/>
          <c:w val="0.75647440936974575"/>
          <c:h val="0.8430750342694584"/>
        </c:manualLayout>
      </c:layout>
      <c:scatterChart>
        <c:scatterStyle val="lineMarker"/>
        <c:varyColors val="0"/>
        <c:ser>
          <c:idx val="0"/>
          <c:order val="0"/>
          <c:tx>
            <c:v>TR797</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'主翼(平面形)'!$C$41:$C$50</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'主翼(平面形)'!$I$41:$I$50</c:f>
              <c:numCache>
                <c:formatCode>General</c:formatCode>
                <c:ptCount val="10"/>
                <c:pt idx="0">
                  <c:v>5.6737157753744532</c:v>
                </c:pt>
                <c:pt idx="1">
                  <c:v>5.4079898780474096</c:v>
                </c:pt>
                <c:pt idx="2">
                  <c:v>4.7257418805580969</c:v>
                </c:pt>
                <c:pt idx="3">
                  <c:v>3.5338458159792876</c:v>
                </c:pt>
                <c:pt idx="4">
                  <c:v>3.1364376294592997</c:v>
                </c:pt>
                <c:pt idx="5">
                  <c:v>1.7227637483722291</c:v>
                </c:pt>
                <c:pt idx="6">
                  <c:v>1.1569237092346283</c:v>
                </c:pt>
                <c:pt idx="7">
                  <c:v>0.93694025489217647</c:v>
                </c:pt>
                <c:pt idx="8">
                  <c:v>0.50793390541293637</c:v>
                </c:pt>
                <c:pt idx="9">
                  <c:v>1.1982751053073747E-2</c:v>
                </c:pt>
              </c:numCache>
            </c:numRef>
          </c:yVal>
          <c:smooth val="0"/>
          <c:extLst>
            <c:ext xmlns:c16="http://schemas.microsoft.com/office/drawing/2014/chart" uri="{C3380CC4-5D6E-409C-BE32-E72D297353CC}">
              <c16:uniqueId val="{00000000-0109-4443-92A4-C2C5AFF6EF07}"/>
            </c:ext>
          </c:extLst>
        </c:ser>
        <c:ser>
          <c:idx val="1"/>
          <c:order val="1"/>
          <c:tx>
            <c:v>楕円循環</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'主翼(平面形)'!$C$41:$C$50</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'主翼(平面形)'!$H$41:$H$50</c:f>
              <c:numCache>
                <c:formatCode>General</c:formatCode>
                <c:ptCount val="10"/>
                <c:pt idx="0">
                  <c:v>4.7163995730098076</c:v>
                </c:pt>
                <c:pt idx="1">
                  <c:v>4.6434347305194565</c:v>
                </c:pt>
                <c:pt idx="2">
                  <c:v>4.3851879102441345</c:v>
                </c:pt>
                <c:pt idx="3">
                  <c:v>3.8494143901349589</c:v>
                </c:pt>
                <c:pt idx="4">
                  <c:v>3.6060930325020184</c:v>
                </c:pt>
                <c:pt idx="5">
                  <c:v>2.5064095665866182</c:v>
                </c:pt>
                <c:pt idx="6">
                  <c:v>1.8521146918379858</c:v>
                </c:pt>
                <c:pt idx="7">
                  <c:v>1.586928240464281</c:v>
                </c:pt>
                <c:pt idx="8">
                  <c:v>1.0716056697523839</c:v>
                </c:pt>
                <c:pt idx="9">
                  <c:v>0.46852299990632973</c:v>
                </c:pt>
              </c:numCache>
            </c:numRef>
          </c:yVal>
          <c:smooth val="0"/>
          <c:extLst>
            <c:ext xmlns:c16="http://schemas.microsoft.com/office/drawing/2014/chart" uri="{C3380CC4-5D6E-409C-BE32-E72D297353CC}">
              <c16:uniqueId val="{00000001-0109-4443-92A4-C2C5AFF6EF07}"/>
            </c:ext>
          </c:extLst>
        </c:ser>
        <c:ser>
          <c:idx val="2"/>
          <c:order val="2"/>
          <c:tx>
            <c:v>LLT</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'主翼(平面形)'!$C$41:$C$50</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'主翼(平面形)'!$J$41:$J$50</c:f>
              <c:numCache>
                <c:formatCode>General</c:formatCode>
                <c:ptCount val="10"/>
                <c:pt idx="0">
                  <c:v>5.6200804234500685</c:v>
                </c:pt>
                <c:pt idx="1">
                  <c:v>5.4474754395549079</c:v>
                </c:pt>
                <c:pt idx="2">
                  <c:v>4.6939654911044713</c:v>
                </c:pt>
                <c:pt idx="3">
                  <c:v>3.624730800285088</c:v>
                </c:pt>
                <c:pt idx="4">
                  <c:v>3.2021623238422587</c:v>
                </c:pt>
                <c:pt idx="5">
                  <c:v>1.7924015305513492</c:v>
                </c:pt>
                <c:pt idx="6">
                  <c:v>1.1976452560336603</c:v>
                </c:pt>
                <c:pt idx="7">
                  <c:v>0.98743047088842306</c:v>
                </c:pt>
                <c:pt idx="8">
                  <c:v>0.65704522464746506</c:v>
                </c:pt>
              </c:numCache>
            </c:numRef>
          </c:yVal>
          <c:smooth val="0"/>
          <c:extLst>
            <c:ext xmlns:c16="http://schemas.microsoft.com/office/drawing/2014/chart" uri="{C3380CC4-5D6E-409C-BE32-E72D297353CC}">
              <c16:uniqueId val="{00000000-7C9C-4FDB-82BF-DDD2CA44B2DC}"/>
            </c:ext>
          </c:extLst>
        </c:ser>
        <c:dLbls>
          <c:showLegendKey val="0"/>
          <c:showVal val="0"/>
          <c:showCatName val="0"/>
          <c:showSerName val="0"/>
          <c:showPercent val="0"/>
          <c:showBubbleSize val="0"/>
        </c:dLbls>
        <c:axId val="382505263"/>
        <c:axId val="382497103"/>
      </c:scatterChart>
      <c:valAx>
        <c:axId val="3825052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2497103"/>
        <c:crosses val="autoZero"/>
        <c:crossBetween val="midCat"/>
      </c:valAx>
      <c:valAx>
        <c:axId val="3824971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250526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886688511043652E-2"/>
          <c:y val="7.3591058976062981E-2"/>
          <c:w val="0.75647440936974575"/>
          <c:h val="0.8430750342694584"/>
        </c:manualLayout>
      </c:layout>
      <c:scatterChart>
        <c:scatterStyle val="lineMarker"/>
        <c:varyColors val="0"/>
        <c:ser>
          <c:idx val="0"/>
          <c:order val="0"/>
          <c:tx>
            <c:v>TR797</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'主翼(平面形)'!$C$61:$C$70</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'主翼(平面形)'!$I$61:$I$70</c:f>
              <c:numCache>
                <c:formatCode>General</c:formatCode>
                <c:ptCount val="10"/>
                <c:pt idx="0">
                  <c:v>5.301767875461648</c:v>
                </c:pt>
                <c:pt idx="1">
                  <c:v>5.0483690609398977</c:v>
                </c:pt>
                <c:pt idx="2">
                  <c:v>4.3521288414360049</c:v>
                </c:pt>
                <c:pt idx="3">
                  <c:v>3.2842939184829687</c:v>
                </c:pt>
                <c:pt idx="4">
                  <c:v>2.8634285362812899</c:v>
                </c:pt>
                <c:pt idx="5">
                  <c:v>1.5595548949911806</c:v>
                </c:pt>
                <c:pt idx="6">
                  <c:v>1.0513891084135181</c:v>
                </c:pt>
                <c:pt idx="7">
                  <c:v>0.87019490660345367</c:v>
                </c:pt>
                <c:pt idx="8">
                  <c:v>0.55492429128448317</c:v>
                </c:pt>
                <c:pt idx="9">
                  <c:v>0.23264219705069217</c:v>
                </c:pt>
              </c:numCache>
            </c:numRef>
          </c:yVal>
          <c:smooth val="0"/>
          <c:extLst>
            <c:ext xmlns:c16="http://schemas.microsoft.com/office/drawing/2014/chart" uri="{C3380CC4-5D6E-409C-BE32-E72D297353CC}">
              <c16:uniqueId val="{00000000-9B5A-4967-A3AF-377182924F12}"/>
            </c:ext>
          </c:extLst>
        </c:ser>
        <c:ser>
          <c:idx val="1"/>
          <c:order val="1"/>
          <c:tx>
            <c:v>楕円循環</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'主翼(平面形)'!$C$61:$C$70</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'主翼(平面形)'!$H$61:$H$70</c:f>
              <c:numCache>
                <c:formatCode>General</c:formatCode>
                <c:ptCount val="10"/>
                <c:pt idx="0">
                  <c:v>4.3718557066080752</c:v>
                </c:pt>
                <c:pt idx="1">
                  <c:v>4.3042211141429512</c:v>
                </c:pt>
                <c:pt idx="2">
                  <c:v>4.0648398196922004</c:v>
                </c:pt>
                <c:pt idx="3">
                  <c:v>3.5682057908997624</c:v>
                </c:pt>
                <c:pt idx="4">
                  <c:v>3.3426596196222635</c:v>
                </c:pt>
                <c:pt idx="5">
                  <c:v>2.3233105671295067</c:v>
                </c:pt>
                <c:pt idx="6">
                  <c:v>1.7168134420038703</c:v>
                </c:pt>
                <c:pt idx="7">
                  <c:v>1.4709994725115811</c:v>
                </c:pt>
                <c:pt idx="8">
                  <c:v>0.99332240409622796</c:v>
                </c:pt>
                <c:pt idx="9">
                  <c:v>0.43429631419258102</c:v>
                </c:pt>
              </c:numCache>
            </c:numRef>
          </c:yVal>
          <c:smooth val="0"/>
          <c:extLst>
            <c:ext xmlns:c16="http://schemas.microsoft.com/office/drawing/2014/chart" uri="{C3380CC4-5D6E-409C-BE32-E72D297353CC}">
              <c16:uniqueId val="{00000001-9B5A-4967-A3AF-377182924F12}"/>
            </c:ext>
          </c:extLst>
        </c:ser>
        <c:ser>
          <c:idx val="2"/>
          <c:order val="2"/>
          <c:tx>
            <c:strRef>
              <c:f>'主翼(平面形)'!$J$59</c:f>
              <c:strCache>
                <c:ptCount val="1"/>
                <c:pt idx="0">
                  <c:v>LLT</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'主翼(平面形)'!$C$61:$C$70</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'主翼(平面形)'!$J$61:$J$70</c:f>
              <c:numCache>
                <c:formatCode>General</c:formatCode>
                <c:ptCount val="10"/>
                <c:pt idx="0">
                  <c:v>5.2125551028317867</c:v>
                </c:pt>
                <c:pt idx="1">
                  <c:v>5.0715939598544164</c:v>
                </c:pt>
                <c:pt idx="2">
                  <c:v>4.3211973761438225</c:v>
                </c:pt>
                <c:pt idx="3">
                  <c:v>3.3866655754158574</c:v>
                </c:pt>
                <c:pt idx="4">
                  <c:v>2.9871006692315341</c:v>
                </c:pt>
                <c:pt idx="5">
                  <c:v>1.5273950602042372</c:v>
                </c:pt>
                <c:pt idx="6">
                  <c:v>0.94833875649054877</c:v>
                </c:pt>
                <c:pt idx="7">
                  <c:v>0.76155316652362048</c:v>
                </c:pt>
                <c:pt idx="8">
                  <c:v>0.49170053439862771</c:v>
                </c:pt>
              </c:numCache>
            </c:numRef>
          </c:yVal>
          <c:smooth val="0"/>
          <c:extLst>
            <c:ext xmlns:c16="http://schemas.microsoft.com/office/drawing/2014/chart" uri="{C3380CC4-5D6E-409C-BE32-E72D297353CC}">
              <c16:uniqueId val="{00000000-7D8C-45F0-8523-7A0FDD46F52F}"/>
            </c:ext>
          </c:extLst>
        </c:ser>
        <c:dLbls>
          <c:showLegendKey val="0"/>
          <c:showVal val="0"/>
          <c:showCatName val="0"/>
          <c:showSerName val="0"/>
          <c:showPercent val="0"/>
          <c:showBubbleSize val="0"/>
        </c:dLbls>
        <c:axId val="382505263"/>
        <c:axId val="382497103"/>
      </c:scatterChart>
      <c:valAx>
        <c:axId val="3825052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2497103"/>
        <c:crosses val="autoZero"/>
        <c:crossBetween val="midCat"/>
      </c:valAx>
      <c:valAx>
        <c:axId val="3824971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250526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Cl</a:t>
            </a:r>
            <a:r>
              <a:rPr lang="en-US" altLang="ja-JP" baseline="0"/>
              <a:t> vs alpha</a:t>
            </a:r>
            <a:endParaRPr lang="ja-JP"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ltLang="en-US"/>
        </a:p>
      </c:txPr>
    </c:title>
    <c:autoTitleDeleted val="0"/>
    <c:plotArea>
      <c:layout/>
      <c:scatterChart>
        <c:scatterStyle val="smoothMarker"/>
        <c:varyColors val="0"/>
        <c:ser>
          <c:idx val="0"/>
          <c:order val="0"/>
          <c:tx>
            <c:strRef>
              <c:f>'主翼(平面形結果)'!$C$44</c:f>
              <c:strCache>
                <c:ptCount val="1"/>
                <c:pt idx="0">
                  <c:v>case1</c:v>
                </c:pt>
              </c:strCache>
            </c:strRef>
          </c:tx>
          <c:spPr>
            <a:ln w="19050" cap="rnd">
              <a:solidFill>
                <a:schemeClr val="accent1"/>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'主翼(平面形結果)'!$C$46:$C$61</c:f>
              <c:numCache>
                <c:formatCode>General</c:formatCode>
                <c:ptCount val="16"/>
                <c:pt idx="0">
                  <c:v>0.38749858875227633</c:v>
                </c:pt>
                <c:pt idx="1">
                  <c:v>0.50015155644609532</c:v>
                </c:pt>
                <c:pt idx="2">
                  <c:v>0.61280417727596259</c:v>
                </c:pt>
                <c:pt idx="3">
                  <c:v>0.72554723905161755</c:v>
                </c:pt>
                <c:pt idx="4">
                  <c:v>0.83771866474464052</c:v>
                </c:pt>
                <c:pt idx="5">
                  <c:v>0.94779148015320713</c:v>
                </c:pt>
                <c:pt idx="6">
                  <c:v>1.0535113918494736</c:v>
                </c:pt>
                <c:pt idx="7">
                  <c:v>1.1523111359863882</c:v>
                </c:pt>
                <c:pt idx="8">
                  <c:v>1.2413761999594557</c:v>
                </c:pt>
                <c:pt idx="9">
                  <c:v>1.3187735578969335</c:v>
                </c:pt>
                <c:pt idx="10">
                  <c:v>1.3831789286152301</c:v>
                </c:pt>
                <c:pt idx="11">
                  <c:v>1.4345740543791807</c:v>
                </c:pt>
                <c:pt idx="12">
                  <c:v>1.4742650728593332</c:v>
                </c:pt>
                <c:pt idx="13">
                  <c:v>1.5046866842258835</c:v>
                </c:pt>
                <c:pt idx="14">
                  <c:v>1.5288179339637027</c:v>
                </c:pt>
                <c:pt idx="15">
                  <c:v>1.5492569699167882</c:v>
                </c:pt>
              </c:numCache>
            </c:numRef>
          </c:yVal>
          <c:smooth val="1"/>
          <c:extLst>
            <c:ext xmlns:c16="http://schemas.microsoft.com/office/drawing/2014/chart" uri="{C3380CC4-5D6E-409C-BE32-E72D297353CC}">
              <c16:uniqueId val="{00000000-90AD-4E2C-8A1C-FC46EDF6A839}"/>
            </c:ext>
          </c:extLst>
        </c:ser>
        <c:ser>
          <c:idx val="1"/>
          <c:order val="1"/>
          <c:tx>
            <c:strRef>
              <c:f>'主翼(平面形結果)'!$G$44</c:f>
              <c:strCache>
                <c:ptCount val="1"/>
                <c:pt idx="0">
                  <c:v>case2</c:v>
                </c:pt>
              </c:strCache>
            </c:strRef>
          </c:tx>
          <c:spPr>
            <a:ln w="19050" cap="rnd">
              <a:solidFill>
                <a:schemeClr val="accent2"/>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'主翼(平面形結果)'!$G$46:$G$61</c:f>
              <c:numCache>
                <c:formatCode>General</c:formatCode>
                <c:ptCount val="16"/>
                <c:pt idx="0">
                  <c:v>0.38284538201161311</c:v>
                </c:pt>
                <c:pt idx="1">
                  <c:v>0.49671218919103033</c:v>
                </c:pt>
                <c:pt idx="2">
                  <c:v>0.61036197360281796</c:v>
                </c:pt>
                <c:pt idx="3">
                  <c:v>0.72379704615925311</c:v>
                </c:pt>
                <c:pt idx="4">
                  <c:v>0.8362658789038222</c:v>
                </c:pt>
                <c:pt idx="5">
                  <c:v>0.9461708444317446</c:v>
                </c:pt>
                <c:pt idx="6">
                  <c:v>1.0512446555832653</c:v>
                </c:pt>
                <c:pt idx="7">
                  <c:v>1.1489013372692345</c:v>
                </c:pt>
                <c:pt idx="8">
                  <c:v>1.2367657027996857</c:v>
                </c:pt>
                <c:pt idx="9">
                  <c:v>1.3128270408198552</c:v>
                </c:pt>
                <c:pt idx="10">
                  <c:v>1.3760387777163889</c:v>
                </c:pt>
                <c:pt idx="11">
                  <c:v>1.4264909892146416</c:v>
                </c:pt>
                <c:pt idx="12">
                  <c:v>1.4654960851524816</c:v>
                </c:pt>
                <c:pt idx="13">
                  <c:v>1.4954139738277121</c:v>
                </c:pt>
                <c:pt idx="14">
                  <c:v>1.5191324011381448</c:v>
                </c:pt>
                <c:pt idx="15">
                  <c:v>1.5392281314903207</c:v>
                </c:pt>
              </c:numCache>
            </c:numRef>
          </c:yVal>
          <c:smooth val="1"/>
          <c:extLst>
            <c:ext xmlns:c16="http://schemas.microsoft.com/office/drawing/2014/chart" uri="{C3380CC4-5D6E-409C-BE32-E72D297353CC}">
              <c16:uniqueId val="{00000001-90AD-4E2C-8A1C-FC46EDF6A839}"/>
            </c:ext>
          </c:extLst>
        </c:ser>
        <c:ser>
          <c:idx val="2"/>
          <c:order val="2"/>
          <c:tx>
            <c:strRef>
              <c:f>'主翼(平面形結果)'!$K$44</c:f>
              <c:strCache>
                <c:ptCount val="1"/>
                <c:pt idx="0">
                  <c:v>case3</c:v>
                </c:pt>
              </c:strCache>
            </c:strRef>
          </c:tx>
          <c:spPr>
            <a:ln w="19050" cap="rnd">
              <a:solidFill>
                <a:schemeClr val="accent3"/>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'主翼(平面形結果)'!$K$46:$K$61</c:f>
              <c:numCache>
                <c:formatCode>General</c:formatCode>
                <c:ptCount val="16"/>
                <c:pt idx="0">
                  <c:v>0.37767057219449601</c:v>
                </c:pt>
                <c:pt idx="1">
                  <c:v>0.49299082798178917</c:v>
                </c:pt>
                <c:pt idx="2">
                  <c:v>0.60781944824873102</c:v>
                </c:pt>
                <c:pt idx="3">
                  <c:v>0.72202727832788527</c:v>
                </c:pt>
                <c:pt idx="4">
                  <c:v>0.83474124972964103</c:v>
                </c:pt>
                <c:pt idx="5">
                  <c:v>0.94428237807405047</c:v>
                </c:pt>
                <c:pt idx="6">
                  <c:v>1.0483912310690338</c:v>
                </c:pt>
                <c:pt idx="7">
                  <c:v>1.1446065234411233</c:v>
                </c:pt>
                <c:pt idx="8">
                  <c:v>1.230774828821442</c:v>
                </c:pt>
                <c:pt idx="9">
                  <c:v>1.3051430651733642</c:v>
                </c:pt>
                <c:pt idx="10">
                  <c:v>1.3668825388561927</c:v>
                </c:pt>
                <c:pt idx="11">
                  <c:v>1.4161999445875124</c:v>
                </c:pt>
                <c:pt idx="12">
                  <c:v>1.4544008730558784</c:v>
                </c:pt>
                <c:pt idx="13">
                  <c:v>1.490523971290111</c:v>
                </c:pt>
                <c:pt idx="14">
                  <c:v>1.5126754760844208</c:v>
                </c:pt>
                <c:pt idx="15">
                  <c:v>1.5266711699512283</c:v>
                </c:pt>
              </c:numCache>
            </c:numRef>
          </c:yVal>
          <c:smooth val="1"/>
          <c:extLst>
            <c:ext xmlns:c16="http://schemas.microsoft.com/office/drawing/2014/chart" uri="{C3380CC4-5D6E-409C-BE32-E72D297353CC}">
              <c16:uniqueId val="{00000002-90AD-4E2C-8A1C-FC46EDF6A839}"/>
            </c:ext>
          </c:extLst>
        </c:ser>
        <c:dLbls>
          <c:showLegendKey val="0"/>
          <c:showVal val="0"/>
          <c:showCatName val="0"/>
          <c:showSerName val="0"/>
          <c:showPercent val="0"/>
          <c:showBubbleSize val="0"/>
        </c:dLbls>
        <c:axId val="666639408"/>
        <c:axId val="666642288"/>
        <c:extLst>
          <c:ext xmlns:c15="http://schemas.microsoft.com/office/drawing/2012/chart" uri="{02D57815-91ED-43cb-92C2-25804820EDAC}">
            <c15:filteredScatterSeries>
              <c15:ser>
                <c:idx val="3"/>
                <c:order val="3"/>
                <c:tx>
                  <c:strRef>
                    <c:extLst>
                      <c:ext uri="{02D57815-91ED-43cb-92C2-25804820EDAC}">
                        <c15:formulaRef>
                          <c15:sqref>'主翼(平面形結果)'!$O$44</c15:sqref>
                        </c15:formulaRef>
                      </c:ext>
                    </c:extLst>
                    <c:strCache>
                      <c:ptCount val="1"/>
                      <c:pt idx="0">
                        <c:v>case4</c:v>
                      </c:pt>
                    </c:strCache>
                  </c:strRef>
                </c:tx>
                <c:spPr>
                  <a:ln w="19050" cap="rnd">
                    <a:solidFill>
                      <a:schemeClr val="accent4"/>
                    </a:solidFill>
                    <a:round/>
                  </a:ln>
                  <a:effectLst/>
                </c:spPr>
                <c:marker>
                  <c:symbol val="none"/>
                </c:marker>
                <c:xVal>
                  <c:numRef>
                    <c:extLst>
                      <c:ex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c:ext uri="{02D57815-91ED-43cb-92C2-25804820EDAC}">
                        <c15:formulaRef>
                          <c15:sqref>'主翼(平面形結果)'!$O$46:$O$61</c15:sqref>
                        </c15:formulaRef>
                      </c:ext>
                    </c:extLst>
                    <c:numCache>
                      <c:formatCode>General</c:formatCode>
                      <c:ptCount val="16"/>
                      <c:pt idx="0">
                        <c:v>0.38335835786351269</c:v>
                      </c:pt>
                      <c:pt idx="1">
                        <c:v>0.49602740500261144</c:v>
                      </c:pt>
                      <c:pt idx="2">
                        <c:v>0.60867012238430529</c:v>
                      </c:pt>
                      <c:pt idx="3">
                        <c:v>0.72140103306750092</c:v>
                      </c:pt>
                      <c:pt idx="4">
                        <c:v>0.8335928544346356</c:v>
                      </c:pt>
                      <c:pt idx="5">
                        <c:v>0.94375259330665162</c:v>
                      </c:pt>
                      <c:pt idx="6">
                        <c:v>1.0496538280105694</c:v>
                      </c:pt>
                      <c:pt idx="7">
                        <c:v>1.1486516036171419</c:v>
                      </c:pt>
                      <c:pt idx="8">
                        <c:v>1.2382094037991094</c:v>
                      </c:pt>
                      <c:pt idx="9">
                        <c:v>1.3160921177256333</c:v>
                      </c:pt>
                      <c:pt idx="10">
                        <c:v>1.3810268209188563</c:v>
                      </c:pt>
                      <c:pt idx="11">
                        <c:v>1.4329372846896291</c:v>
                      </c:pt>
                      <c:pt idx="12">
                        <c:v>1.4730657025952925</c:v>
                      </c:pt>
                      <c:pt idx="13">
                        <c:v>1.503794898908553</c:v>
                      </c:pt>
                      <c:pt idx="14">
                        <c:v>1.5280870660533001</c:v>
                      </c:pt>
                      <c:pt idx="15">
                        <c:v>1.5485770413802966</c:v>
                      </c:pt>
                    </c:numCache>
                  </c:numRef>
                </c:yVal>
                <c:smooth val="1"/>
                <c:extLst>
                  <c:ext xmlns:c16="http://schemas.microsoft.com/office/drawing/2014/chart" uri="{C3380CC4-5D6E-409C-BE32-E72D297353CC}">
                    <c16:uniqueId val="{00000003-90AD-4E2C-8A1C-FC46EDF6A839}"/>
                  </c:ext>
                </c:extLst>
              </c15:ser>
            </c15:filteredScatterSeries>
            <c15:filteredScatterSeries>
              <c15:ser>
                <c:idx val="4"/>
                <c:order val="4"/>
                <c:tx>
                  <c:strRef>
                    <c:extLst xmlns:c15="http://schemas.microsoft.com/office/drawing/2012/chart">
                      <c:ext xmlns:c15="http://schemas.microsoft.com/office/drawing/2012/chart" uri="{02D57815-91ED-43cb-92C2-25804820EDAC}">
                        <c15:formulaRef>
                          <c15:sqref>'主翼(平面形結果)'!$S$44</c15:sqref>
                        </c15:formulaRef>
                      </c:ext>
                    </c:extLst>
                    <c:strCache>
                      <c:ptCount val="1"/>
                      <c:pt idx="0">
                        <c:v>case5</c:v>
                      </c:pt>
                    </c:strCache>
                  </c:strRef>
                </c:tx>
                <c:spPr>
                  <a:ln w="19050" cap="rnd">
                    <a:solidFill>
                      <a:schemeClr val="accent5"/>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xmlns:c15="http://schemas.microsoft.com/office/drawing/2012/chart">
                      <c:ext xmlns:c15="http://schemas.microsoft.com/office/drawing/2012/chart" uri="{02D57815-91ED-43cb-92C2-25804820EDAC}">
                        <c15:formulaRef>
                          <c15:sqref>'主翼(平面形結果)'!$S$46:$S$61</c15:sqref>
                        </c15:formulaRef>
                      </c:ext>
                    </c:extLst>
                    <c:numCache>
                      <c:formatCode>General</c:formatCode>
                      <c:ptCount val="16"/>
                      <c:pt idx="0">
                        <c:v>0.38284538201161311</c:v>
                      </c:pt>
                      <c:pt idx="1">
                        <c:v>0.49671218919103033</c:v>
                      </c:pt>
                      <c:pt idx="2">
                        <c:v>0.61036197360281796</c:v>
                      </c:pt>
                      <c:pt idx="3">
                        <c:v>0.72379704615925311</c:v>
                      </c:pt>
                      <c:pt idx="4">
                        <c:v>0.8362658789038222</c:v>
                      </c:pt>
                      <c:pt idx="5">
                        <c:v>0.9461708444317446</c:v>
                      </c:pt>
                      <c:pt idx="6">
                        <c:v>1.0512446555832653</c:v>
                      </c:pt>
                      <c:pt idx="7">
                        <c:v>1.1489013372692345</c:v>
                      </c:pt>
                      <c:pt idx="8">
                        <c:v>1.2367657027996857</c:v>
                      </c:pt>
                      <c:pt idx="9">
                        <c:v>1.3128270408198552</c:v>
                      </c:pt>
                      <c:pt idx="10">
                        <c:v>1.3760387777163889</c:v>
                      </c:pt>
                      <c:pt idx="11">
                        <c:v>1.4264909892146416</c:v>
                      </c:pt>
                      <c:pt idx="12">
                        <c:v>1.4654960851524816</c:v>
                      </c:pt>
                      <c:pt idx="13">
                        <c:v>1.4954139738277121</c:v>
                      </c:pt>
                      <c:pt idx="14">
                        <c:v>1.5191324011381448</c:v>
                      </c:pt>
                      <c:pt idx="15">
                        <c:v>1.5392281314903207</c:v>
                      </c:pt>
                    </c:numCache>
                  </c:numRef>
                </c:yVal>
                <c:smooth val="1"/>
                <c:extLst xmlns:c15="http://schemas.microsoft.com/office/drawing/2012/chart">
                  <c:ext xmlns:c16="http://schemas.microsoft.com/office/drawing/2014/chart" uri="{C3380CC4-5D6E-409C-BE32-E72D297353CC}">
                    <c16:uniqueId val="{00000004-90AD-4E2C-8A1C-FC46EDF6A839}"/>
                  </c:ext>
                </c:extLst>
              </c15:ser>
            </c15:filteredScatterSeries>
            <c15:filteredScatterSeries>
              <c15:ser>
                <c:idx val="5"/>
                <c:order val="5"/>
                <c:tx>
                  <c:strRef>
                    <c:extLst xmlns:c15="http://schemas.microsoft.com/office/drawing/2012/chart">
                      <c:ext xmlns:c15="http://schemas.microsoft.com/office/drawing/2012/chart" uri="{02D57815-91ED-43cb-92C2-25804820EDAC}">
                        <c15:formulaRef>
                          <c15:sqref>'主翼(平面形結果)'!$W$44</c15:sqref>
                        </c15:formulaRef>
                      </c:ext>
                    </c:extLst>
                    <c:strCache>
                      <c:ptCount val="1"/>
                      <c:pt idx="0">
                        <c:v>case6</c:v>
                      </c:pt>
                    </c:strCache>
                  </c:strRef>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xmlns:c15="http://schemas.microsoft.com/office/drawing/2012/chart">
                      <c:ext xmlns:c15="http://schemas.microsoft.com/office/drawing/2012/chart" uri="{02D57815-91ED-43cb-92C2-25804820EDAC}">
                        <c15:formulaRef>
                          <c15:sqref>'主翼(平面形結果)'!$W$46:$W$61</c15:sqref>
                        </c15:formulaRef>
                      </c:ext>
                    </c:extLst>
                    <c:numCache>
                      <c:formatCode>General</c:formatCode>
                      <c:ptCount val="16"/>
                      <c:pt idx="0">
                        <c:v>0.42220986894135343</c:v>
                      </c:pt>
                      <c:pt idx="1">
                        <c:v>0.53808284201360423</c:v>
                      </c:pt>
                      <c:pt idx="2">
                        <c:v>0.65320665744349193</c:v>
                      </c:pt>
                      <c:pt idx="3">
                        <c:v>0.76696749608764636</c:v>
                      </c:pt>
                      <c:pt idx="4">
                        <c:v>0.87773796692470463</c:v>
                      </c:pt>
                      <c:pt idx="5">
                        <c:v>0.9832071973213331</c:v>
                      </c:pt>
                      <c:pt idx="6">
                        <c:v>1.0810081098214603</c:v>
                      </c:pt>
                      <c:pt idx="7">
                        <c:v>1.1689949072603625</c:v>
                      </c:pt>
                      <c:pt idx="8">
                        <c:v>1.2457640630183142</c:v>
                      </c:pt>
                      <c:pt idx="9">
                        <c:v>1.310345208300886</c:v>
                      </c:pt>
                      <c:pt idx="10">
                        <c:v>1.3626586070056004</c:v>
                      </c:pt>
                      <c:pt idx="11">
                        <c:v>1.4033092531291642</c:v>
                      </c:pt>
                      <c:pt idx="12">
                        <c:v>1.433658169481042</c:v>
                      </c:pt>
                      <c:pt idx="13">
                        <c:v>1.4560816959192397</c:v>
                      </c:pt>
                      <c:pt idx="14">
                        <c:v>1.4734104045534535</c:v>
                      </c:pt>
                      <c:pt idx="15">
                        <c:v>1.4883013337930915</c:v>
                      </c:pt>
                    </c:numCache>
                  </c:numRef>
                </c:yVal>
                <c:smooth val="1"/>
                <c:extLst xmlns:c15="http://schemas.microsoft.com/office/drawing/2012/chart">
                  <c:ext xmlns:c16="http://schemas.microsoft.com/office/drawing/2014/chart" uri="{C3380CC4-5D6E-409C-BE32-E72D297353CC}">
                    <c16:uniqueId val="{00000005-90AD-4E2C-8A1C-FC46EDF6A839}"/>
                  </c:ext>
                </c:extLst>
              </c15:ser>
            </c15:filteredScatterSeries>
          </c:ext>
        </c:extLst>
      </c:scatterChart>
      <c:valAx>
        <c:axId val="6666394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66642288"/>
        <c:crosses val="autoZero"/>
        <c:crossBetween val="midCat"/>
      </c:valAx>
      <c:valAx>
        <c:axId val="666642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666394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L/D</a:t>
            </a:r>
            <a:r>
              <a:rPr lang="en-US" altLang="ja-JP" baseline="0"/>
              <a:t> vs Cl</a:t>
            </a:r>
            <a:endParaRPr lang="ja-JP"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ltLang="en-US"/>
        </a:p>
      </c:txPr>
    </c:title>
    <c:autoTitleDeleted val="0"/>
    <c:plotArea>
      <c:layout/>
      <c:scatterChart>
        <c:scatterStyle val="smoothMarker"/>
        <c:varyColors val="0"/>
        <c:ser>
          <c:idx val="0"/>
          <c:order val="0"/>
          <c:tx>
            <c:strRef>
              <c:f>'主翼(平面形結果)'!$C$44</c:f>
              <c:strCache>
                <c:ptCount val="1"/>
                <c:pt idx="0">
                  <c:v>case1</c:v>
                </c:pt>
              </c:strCache>
            </c:strRef>
          </c:tx>
          <c:spPr>
            <a:ln w="19050" cap="rnd">
              <a:solidFill>
                <a:schemeClr val="accent1"/>
              </a:solidFill>
              <a:round/>
            </a:ln>
            <a:effectLst/>
          </c:spPr>
          <c:marker>
            <c:symbol val="none"/>
          </c:marker>
          <c:xVal>
            <c:numRef>
              <c:f>'主翼(平面形結果)'!$C$46:$C$61</c:f>
              <c:numCache>
                <c:formatCode>General</c:formatCode>
                <c:ptCount val="16"/>
                <c:pt idx="0">
                  <c:v>0.38749858875227633</c:v>
                </c:pt>
                <c:pt idx="1">
                  <c:v>0.50015155644609532</c:v>
                </c:pt>
                <c:pt idx="2">
                  <c:v>0.61280417727596259</c:v>
                </c:pt>
                <c:pt idx="3">
                  <c:v>0.72554723905161755</c:v>
                </c:pt>
                <c:pt idx="4">
                  <c:v>0.83771866474464052</c:v>
                </c:pt>
                <c:pt idx="5">
                  <c:v>0.94779148015320713</c:v>
                </c:pt>
                <c:pt idx="6">
                  <c:v>1.0535113918494736</c:v>
                </c:pt>
                <c:pt idx="7">
                  <c:v>1.1523111359863882</c:v>
                </c:pt>
                <c:pt idx="8">
                  <c:v>1.2413761999594557</c:v>
                </c:pt>
                <c:pt idx="9">
                  <c:v>1.3187735578969335</c:v>
                </c:pt>
                <c:pt idx="10">
                  <c:v>1.3831789286152301</c:v>
                </c:pt>
                <c:pt idx="11">
                  <c:v>1.4345740543791807</c:v>
                </c:pt>
                <c:pt idx="12">
                  <c:v>1.4742650728593332</c:v>
                </c:pt>
                <c:pt idx="13">
                  <c:v>1.5046866842258835</c:v>
                </c:pt>
                <c:pt idx="14">
                  <c:v>1.5288179339637027</c:v>
                </c:pt>
                <c:pt idx="15">
                  <c:v>1.5492569699167882</c:v>
                </c:pt>
              </c:numCache>
            </c:numRef>
          </c:xVal>
          <c:yVal>
            <c:numRef>
              <c:f>'主翼(平面形結果)'!$E$46:$E$61</c:f>
              <c:numCache>
                <c:formatCode>General</c:formatCode>
                <c:ptCount val="16"/>
                <c:pt idx="0">
                  <c:v>34.916188366551353</c:v>
                </c:pt>
                <c:pt idx="1">
                  <c:v>46.100488270857703</c:v>
                </c:pt>
                <c:pt idx="2">
                  <c:v>55.758824702601373</c:v>
                </c:pt>
                <c:pt idx="3">
                  <c:v>62.948791239930266</c:v>
                </c:pt>
                <c:pt idx="4">
                  <c:v>67.298016090808247</c:v>
                </c:pt>
                <c:pt idx="5">
                  <c:v>68.96614320855636</c:v>
                </c:pt>
                <c:pt idx="6">
                  <c:v>68.436320011615962</c:v>
                </c:pt>
                <c:pt idx="7">
                  <c:v>66.269853600879102</c:v>
                </c:pt>
                <c:pt idx="8">
                  <c:v>62.731279626539767</c:v>
                </c:pt>
                <c:pt idx="9">
                  <c:v>58.334647681659298</c:v>
                </c:pt>
                <c:pt idx="10">
                  <c:v>53.32636689717603</c:v>
                </c:pt>
                <c:pt idx="11">
                  <c:v>48.021663279151674</c:v>
                </c:pt>
                <c:pt idx="12">
                  <c:v>42.726019708247541</c:v>
                </c:pt>
                <c:pt idx="13">
                  <c:v>37.703574625136511</c:v>
                </c:pt>
                <c:pt idx="14">
                  <c:v>33.137089944019131</c:v>
                </c:pt>
                <c:pt idx="15">
                  <c:v>29.104232034994869</c:v>
                </c:pt>
              </c:numCache>
            </c:numRef>
          </c:yVal>
          <c:smooth val="1"/>
          <c:extLst>
            <c:ext xmlns:c16="http://schemas.microsoft.com/office/drawing/2014/chart" uri="{C3380CC4-5D6E-409C-BE32-E72D297353CC}">
              <c16:uniqueId val="{00000000-4E7E-4D41-8578-830179D80656}"/>
            </c:ext>
          </c:extLst>
        </c:ser>
        <c:ser>
          <c:idx val="1"/>
          <c:order val="1"/>
          <c:tx>
            <c:strRef>
              <c:f>'主翼(平面形結果)'!$G$44</c:f>
              <c:strCache>
                <c:ptCount val="1"/>
                <c:pt idx="0">
                  <c:v>case2</c:v>
                </c:pt>
              </c:strCache>
              <c:extLst xmlns:c15="http://schemas.microsoft.com/office/drawing/2012/chart"/>
            </c:strRef>
          </c:tx>
          <c:spPr>
            <a:ln w="19050" cap="rnd">
              <a:solidFill>
                <a:schemeClr val="accent2"/>
              </a:solidFill>
              <a:round/>
            </a:ln>
            <a:effectLst/>
          </c:spPr>
          <c:marker>
            <c:symbol val="none"/>
          </c:marker>
          <c:xVal>
            <c:numRef>
              <c:f>'主翼(平面形結果)'!$G$46:$G$61</c:f>
              <c:numCache>
                <c:formatCode>General</c:formatCode>
                <c:ptCount val="16"/>
                <c:pt idx="0">
                  <c:v>0.38284538201161311</c:v>
                </c:pt>
                <c:pt idx="1">
                  <c:v>0.49671218919103033</c:v>
                </c:pt>
                <c:pt idx="2">
                  <c:v>0.61036197360281796</c:v>
                </c:pt>
                <c:pt idx="3">
                  <c:v>0.72379704615925311</c:v>
                </c:pt>
                <c:pt idx="4">
                  <c:v>0.8362658789038222</c:v>
                </c:pt>
                <c:pt idx="5">
                  <c:v>0.9461708444317446</c:v>
                </c:pt>
                <c:pt idx="6">
                  <c:v>1.0512446555832653</c:v>
                </c:pt>
                <c:pt idx="7">
                  <c:v>1.1489013372692345</c:v>
                </c:pt>
                <c:pt idx="8">
                  <c:v>1.2367657027996857</c:v>
                </c:pt>
                <c:pt idx="9">
                  <c:v>1.3128270408198552</c:v>
                </c:pt>
                <c:pt idx="10">
                  <c:v>1.3760387777163889</c:v>
                </c:pt>
                <c:pt idx="11">
                  <c:v>1.4264909892146416</c:v>
                </c:pt>
                <c:pt idx="12">
                  <c:v>1.4654960851524816</c:v>
                </c:pt>
                <c:pt idx="13">
                  <c:v>1.4954139738277121</c:v>
                </c:pt>
                <c:pt idx="14">
                  <c:v>1.5191324011381448</c:v>
                </c:pt>
                <c:pt idx="15">
                  <c:v>1.5392281314903207</c:v>
                </c:pt>
              </c:numCache>
              <c:extLst xmlns:c15="http://schemas.microsoft.com/office/drawing/2012/chart"/>
            </c:numRef>
          </c:xVal>
          <c:yVal>
            <c:numRef>
              <c:f>'主翼(平面形結果)'!$I$46:$I$61</c:f>
              <c:numCache>
                <c:formatCode>General</c:formatCode>
                <c:ptCount val="16"/>
                <c:pt idx="0">
                  <c:v>35.692272613905189</c:v>
                </c:pt>
                <c:pt idx="1">
                  <c:v>47.197231355263646</c:v>
                </c:pt>
                <c:pt idx="2">
                  <c:v>56.98730487655655</c:v>
                </c:pt>
                <c:pt idx="3">
                  <c:v>64.111275165188403</c:v>
                </c:pt>
                <c:pt idx="4">
                  <c:v>68.261416096566023</c:v>
                </c:pt>
                <c:pt idx="5">
                  <c:v>69.690527485348682</c:v>
                </c:pt>
                <c:pt idx="6">
                  <c:v>68.958295331254703</c:v>
                </c:pt>
                <c:pt idx="7">
                  <c:v>66.591323900526532</c:v>
                </c:pt>
                <c:pt idx="8">
                  <c:v>63.087685580675029</c:v>
                </c:pt>
                <c:pt idx="9">
                  <c:v>58.723952647221559</c:v>
                </c:pt>
                <c:pt idx="10">
                  <c:v>53.795677816475774</c:v>
                </c:pt>
                <c:pt idx="11">
                  <c:v>48.588344549864516</c:v>
                </c:pt>
                <c:pt idx="12">
                  <c:v>43.381095175207733</c:v>
                </c:pt>
                <c:pt idx="13">
                  <c:v>38.42178458122418</c:v>
                </c:pt>
                <c:pt idx="14">
                  <c:v>33.889442327117671</c:v>
                </c:pt>
                <c:pt idx="15">
                  <c:v>29.867763862902869</c:v>
                </c:pt>
              </c:numCache>
              <c:extLst xmlns:c15="http://schemas.microsoft.com/office/drawing/2012/chart"/>
            </c:numRef>
          </c:yVal>
          <c:smooth val="1"/>
          <c:extLst xmlns:c15="http://schemas.microsoft.com/office/drawing/2012/chart">
            <c:ext xmlns:c16="http://schemas.microsoft.com/office/drawing/2014/chart" uri="{C3380CC4-5D6E-409C-BE32-E72D297353CC}">
              <c16:uniqueId val="{00000002-4E7E-4D41-8578-830179D80656}"/>
            </c:ext>
          </c:extLst>
        </c:ser>
        <c:ser>
          <c:idx val="2"/>
          <c:order val="2"/>
          <c:tx>
            <c:strRef>
              <c:f>'主翼(平面形結果)'!$K$44</c:f>
              <c:strCache>
                <c:ptCount val="1"/>
                <c:pt idx="0">
                  <c:v>case3</c:v>
                </c:pt>
              </c:strCache>
              <c:extLst xmlns:c15="http://schemas.microsoft.com/office/drawing/2012/chart"/>
            </c:strRef>
          </c:tx>
          <c:spPr>
            <a:ln w="19050" cap="rnd">
              <a:solidFill>
                <a:schemeClr val="accent3"/>
              </a:solidFill>
              <a:round/>
            </a:ln>
            <a:effectLst/>
          </c:spPr>
          <c:marker>
            <c:symbol val="none"/>
          </c:marker>
          <c:xVal>
            <c:numRef>
              <c:f>'主翼(平面形結果)'!$K$46:$K$61</c:f>
              <c:numCache>
                <c:formatCode>General</c:formatCode>
                <c:ptCount val="16"/>
                <c:pt idx="0">
                  <c:v>0.37767057219449601</c:v>
                </c:pt>
                <c:pt idx="1">
                  <c:v>0.49299082798178917</c:v>
                </c:pt>
                <c:pt idx="2">
                  <c:v>0.60781944824873102</c:v>
                </c:pt>
                <c:pt idx="3">
                  <c:v>0.72202727832788527</c:v>
                </c:pt>
                <c:pt idx="4">
                  <c:v>0.83474124972964103</c:v>
                </c:pt>
                <c:pt idx="5">
                  <c:v>0.94428237807405047</c:v>
                </c:pt>
                <c:pt idx="6">
                  <c:v>1.0483912310690338</c:v>
                </c:pt>
                <c:pt idx="7">
                  <c:v>1.1446065234411233</c:v>
                </c:pt>
                <c:pt idx="8">
                  <c:v>1.230774828821442</c:v>
                </c:pt>
                <c:pt idx="9">
                  <c:v>1.3051430651733642</c:v>
                </c:pt>
                <c:pt idx="10">
                  <c:v>1.3668825388561927</c:v>
                </c:pt>
                <c:pt idx="11">
                  <c:v>1.4161999445875124</c:v>
                </c:pt>
                <c:pt idx="12">
                  <c:v>1.4544008730558784</c:v>
                </c:pt>
                <c:pt idx="13">
                  <c:v>1.490523971290111</c:v>
                </c:pt>
                <c:pt idx="14">
                  <c:v>1.5126754760844208</c:v>
                </c:pt>
                <c:pt idx="15">
                  <c:v>1.5266711699512283</c:v>
                </c:pt>
              </c:numCache>
              <c:extLst xmlns:c15="http://schemas.microsoft.com/office/drawing/2012/chart"/>
            </c:numRef>
          </c:xVal>
          <c:yVal>
            <c:numRef>
              <c:f>'主翼(平面形結果)'!$M$46:$M$61</c:f>
              <c:numCache>
                <c:formatCode>General</c:formatCode>
                <c:ptCount val="16"/>
                <c:pt idx="0">
                  <c:v>36.266110920800067</c:v>
                </c:pt>
                <c:pt idx="1">
                  <c:v>48.087863038114563</c:v>
                </c:pt>
                <c:pt idx="2">
                  <c:v>57.999936428040655</c:v>
                </c:pt>
                <c:pt idx="3">
                  <c:v>65.041481500616229</c:v>
                </c:pt>
                <c:pt idx="4">
                  <c:v>68.978606107781431</c:v>
                </c:pt>
                <c:pt idx="5">
                  <c:v>70.167460347892217</c:v>
                </c:pt>
                <c:pt idx="6">
                  <c:v>69.248021369066294</c:v>
                </c:pt>
                <c:pt idx="7">
                  <c:v>66.78466176507753</c:v>
                </c:pt>
                <c:pt idx="8">
                  <c:v>63.281374800479078</c:v>
                </c:pt>
                <c:pt idx="9">
                  <c:v>58.996017127865564</c:v>
                </c:pt>
                <c:pt idx="10">
                  <c:v>54.195187119732623</c:v>
                </c:pt>
                <c:pt idx="11">
                  <c:v>49.131317908503725</c:v>
                </c:pt>
                <c:pt idx="12">
                  <c:v>44.054115088546986</c:v>
                </c:pt>
                <c:pt idx="13">
                  <c:v>47.220096641063222</c:v>
                </c:pt>
                <c:pt idx="14">
                  <c:v>40.750015715576978</c:v>
                </c:pt>
                <c:pt idx="15">
                  <c:v>30.729154097860949</c:v>
                </c:pt>
              </c:numCache>
              <c:extLst xmlns:c15="http://schemas.microsoft.com/office/drawing/2012/chart"/>
            </c:numRef>
          </c:yVal>
          <c:smooth val="1"/>
          <c:extLst xmlns:c15="http://schemas.microsoft.com/office/drawing/2012/chart">
            <c:ext xmlns:c16="http://schemas.microsoft.com/office/drawing/2014/chart" uri="{C3380CC4-5D6E-409C-BE32-E72D297353CC}">
              <c16:uniqueId val="{00000003-4E7E-4D41-8578-830179D80656}"/>
            </c:ext>
          </c:extLst>
        </c:ser>
        <c:dLbls>
          <c:showLegendKey val="0"/>
          <c:showVal val="0"/>
          <c:showCatName val="0"/>
          <c:showSerName val="0"/>
          <c:showPercent val="0"/>
          <c:showBubbleSize val="0"/>
        </c:dLbls>
        <c:axId val="1054141344"/>
        <c:axId val="1054139424"/>
        <c:extLst>
          <c:ext xmlns:c15="http://schemas.microsoft.com/office/drawing/2012/chart" uri="{02D57815-91ED-43cb-92C2-25804820EDAC}">
            <c15:filteredScatterSeries>
              <c15:ser>
                <c:idx val="3"/>
                <c:order val="3"/>
                <c:tx>
                  <c:strRef>
                    <c:extLst>
                      <c:ext uri="{02D57815-91ED-43cb-92C2-25804820EDAC}">
                        <c15:formulaRef>
                          <c15:sqref>'主翼(平面形結果)'!$O$44</c15:sqref>
                        </c15:formulaRef>
                      </c:ext>
                    </c:extLst>
                    <c:strCache>
                      <c:ptCount val="1"/>
                      <c:pt idx="0">
                        <c:v>case4</c:v>
                      </c:pt>
                    </c:strCache>
                  </c:strRef>
                </c:tx>
                <c:spPr>
                  <a:ln w="19050" cap="rnd">
                    <a:solidFill>
                      <a:schemeClr val="accent4"/>
                    </a:solidFill>
                    <a:round/>
                  </a:ln>
                  <a:effectLst/>
                </c:spPr>
                <c:marker>
                  <c:symbol val="none"/>
                </c:marker>
                <c:xVal>
                  <c:numRef>
                    <c:extLst>
                      <c:ext uri="{02D57815-91ED-43cb-92C2-25804820EDAC}">
                        <c15:formulaRef>
                          <c15:sqref>'主翼(平面形結果)'!$O$46:$O$61</c15:sqref>
                        </c15:formulaRef>
                      </c:ext>
                    </c:extLst>
                    <c:numCache>
                      <c:formatCode>General</c:formatCode>
                      <c:ptCount val="16"/>
                      <c:pt idx="0">
                        <c:v>0.38335835786351269</c:v>
                      </c:pt>
                      <c:pt idx="1">
                        <c:v>0.49602740500261144</c:v>
                      </c:pt>
                      <c:pt idx="2">
                        <c:v>0.60867012238430529</c:v>
                      </c:pt>
                      <c:pt idx="3">
                        <c:v>0.72140103306750092</c:v>
                      </c:pt>
                      <c:pt idx="4">
                        <c:v>0.8335928544346356</c:v>
                      </c:pt>
                      <c:pt idx="5">
                        <c:v>0.94375259330665162</c:v>
                      </c:pt>
                      <c:pt idx="6">
                        <c:v>1.0496538280105694</c:v>
                      </c:pt>
                      <c:pt idx="7">
                        <c:v>1.1486516036171419</c:v>
                      </c:pt>
                      <c:pt idx="8">
                        <c:v>1.2382094037991094</c:v>
                      </c:pt>
                      <c:pt idx="9">
                        <c:v>1.3160921177256333</c:v>
                      </c:pt>
                      <c:pt idx="10">
                        <c:v>1.3810268209188563</c:v>
                      </c:pt>
                      <c:pt idx="11">
                        <c:v>1.4329372846896291</c:v>
                      </c:pt>
                      <c:pt idx="12">
                        <c:v>1.4730657025952925</c:v>
                      </c:pt>
                      <c:pt idx="13">
                        <c:v>1.503794898908553</c:v>
                      </c:pt>
                      <c:pt idx="14">
                        <c:v>1.5280870660533001</c:v>
                      </c:pt>
                      <c:pt idx="15">
                        <c:v>1.5485770413802966</c:v>
                      </c:pt>
                    </c:numCache>
                  </c:numRef>
                </c:xVal>
                <c:yVal>
                  <c:numRef>
                    <c:extLst>
                      <c:ext uri="{02D57815-91ED-43cb-92C2-25804820EDAC}">
                        <c15:formulaRef>
                          <c15:sqref>'主翼(平面形結果)'!$Q$46:$Q$61</c15:sqref>
                        </c15:formulaRef>
                      </c:ext>
                    </c:extLst>
                    <c:numCache>
                      <c:formatCode>General</c:formatCode>
                      <c:ptCount val="16"/>
                      <c:pt idx="0">
                        <c:v>34.558283367264941</c:v>
                      </c:pt>
                      <c:pt idx="1">
                        <c:v>45.789128674764534</c:v>
                      </c:pt>
                      <c:pt idx="2">
                        <c:v>55.523615000613354</c:v>
                      </c:pt>
                      <c:pt idx="3">
                        <c:v>62.79989163844548</c:v>
                      </c:pt>
                      <c:pt idx="4">
                        <c:v>67.231906998340122</c:v>
                      </c:pt>
                      <c:pt idx="5">
                        <c:v>68.970793466545274</c:v>
                      </c:pt>
                      <c:pt idx="6">
                        <c:v>68.493839560192754</c:v>
                      </c:pt>
                      <c:pt idx="7">
                        <c:v>66.296712652940499</c:v>
                      </c:pt>
                      <c:pt idx="8">
                        <c:v>62.870663827877813</c:v>
                      </c:pt>
                      <c:pt idx="9">
                        <c:v>58.506806277342356</c:v>
                      </c:pt>
                      <c:pt idx="10">
                        <c:v>53.523475755088441</c:v>
                      </c:pt>
                      <c:pt idx="11">
                        <c:v>48.232861938105422</c:v>
                      </c:pt>
                      <c:pt idx="12">
                        <c:v>42.938675825943754</c:v>
                      </c:pt>
                      <c:pt idx="13">
                        <c:v>37.905853168636533</c:v>
                      </c:pt>
                      <c:pt idx="14">
                        <c:v>33.320595644287984</c:v>
                      </c:pt>
                      <c:pt idx="15">
                        <c:v>29.26548865731387</c:v>
                      </c:pt>
                    </c:numCache>
                  </c:numRef>
                </c:yVal>
                <c:smooth val="1"/>
                <c:extLst>
                  <c:ext xmlns:c16="http://schemas.microsoft.com/office/drawing/2014/chart" uri="{C3380CC4-5D6E-409C-BE32-E72D297353CC}">
                    <c16:uniqueId val="{00000004-4E7E-4D41-8578-830179D80656}"/>
                  </c:ext>
                </c:extLst>
              </c15:ser>
            </c15:filteredScatterSeries>
            <c15:filteredScatterSeries>
              <c15:ser>
                <c:idx val="4"/>
                <c:order val="4"/>
                <c:tx>
                  <c:strRef>
                    <c:extLst xmlns:c15="http://schemas.microsoft.com/office/drawing/2012/chart">
                      <c:ext xmlns:c15="http://schemas.microsoft.com/office/drawing/2012/chart" uri="{02D57815-91ED-43cb-92C2-25804820EDAC}">
                        <c15:formulaRef>
                          <c15:sqref>'主翼(平面形結果)'!$S$44</c15:sqref>
                        </c15:formulaRef>
                      </c:ext>
                    </c:extLst>
                    <c:strCache>
                      <c:ptCount val="1"/>
                      <c:pt idx="0">
                        <c:v>case5</c:v>
                      </c:pt>
                    </c:strCache>
                  </c:strRef>
                </c:tx>
                <c:spPr>
                  <a:ln w="19050" cap="rnd">
                    <a:solidFill>
                      <a:schemeClr val="accent5"/>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'主翼(平面形結果)'!$S$46:$S$61</c15:sqref>
                        </c15:formulaRef>
                      </c:ext>
                    </c:extLst>
                    <c:numCache>
                      <c:formatCode>General</c:formatCode>
                      <c:ptCount val="16"/>
                      <c:pt idx="0">
                        <c:v>0.38284538201161311</c:v>
                      </c:pt>
                      <c:pt idx="1">
                        <c:v>0.49671218919103033</c:v>
                      </c:pt>
                      <c:pt idx="2">
                        <c:v>0.61036197360281796</c:v>
                      </c:pt>
                      <c:pt idx="3">
                        <c:v>0.72379704615925311</c:v>
                      </c:pt>
                      <c:pt idx="4">
                        <c:v>0.8362658789038222</c:v>
                      </c:pt>
                      <c:pt idx="5">
                        <c:v>0.9461708444317446</c:v>
                      </c:pt>
                      <c:pt idx="6">
                        <c:v>1.0512446555832653</c:v>
                      </c:pt>
                      <c:pt idx="7">
                        <c:v>1.1489013372692345</c:v>
                      </c:pt>
                      <c:pt idx="8">
                        <c:v>1.2367657027996857</c:v>
                      </c:pt>
                      <c:pt idx="9">
                        <c:v>1.3128270408198552</c:v>
                      </c:pt>
                      <c:pt idx="10">
                        <c:v>1.3760387777163889</c:v>
                      </c:pt>
                      <c:pt idx="11">
                        <c:v>1.4264909892146416</c:v>
                      </c:pt>
                      <c:pt idx="12">
                        <c:v>1.4654960851524816</c:v>
                      </c:pt>
                      <c:pt idx="13">
                        <c:v>1.4954139738277121</c:v>
                      </c:pt>
                      <c:pt idx="14">
                        <c:v>1.5191324011381448</c:v>
                      </c:pt>
                      <c:pt idx="15">
                        <c:v>1.5392281314903207</c:v>
                      </c:pt>
                    </c:numCache>
                  </c:numRef>
                </c:xVal>
                <c:yVal>
                  <c:numRef>
                    <c:extLst xmlns:c15="http://schemas.microsoft.com/office/drawing/2012/chart">
                      <c:ext xmlns:c15="http://schemas.microsoft.com/office/drawing/2012/chart" uri="{02D57815-91ED-43cb-92C2-25804820EDAC}">
                        <c15:formulaRef>
                          <c15:sqref>'主翼(平面形結果)'!$U$46:$U$61</c15:sqref>
                        </c15:formulaRef>
                      </c:ext>
                    </c:extLst>
                    <c:numCache>
                      <c:formatCode>General</c:formatCode>
                      <c:ptCount val="16"/>
                      <c:pt idx="0">
                        <c:v>35.692272613905189</c:v>
                      </c:pt>
                      <c:pt idx="1">
                        <c:v>47.197231355263646</c:v>
                      </c:pt>
                      <c:pt idx="2">
                        <c:v>56.98730487655655</c:v>
                      </c:pt>
                      <c:pt idx="3">
                        <c:v>64.111275165188403</c:v>
                      </c:pt>
                      <c:pt idx="4">
                        <c:v>68.261416096566023</c:v>
                      </c:pt>
                      <c:pt idx="5">
                        <c:v>69.690527485348682</c:v>
                      </c:pt>
                      <c:pt idx="6">
                        <c:v>68.958295331254703</c:v>
                      </c:pt>
                      <c:pt idx="7">
                        <c:v>66.591323900526532</c:v>
                      </c:pt>
                      <c:pt idx="8">
                        <c:v>63.087685580675029</c:v>
                      </c:pt>
                      <c:pt idx="9">
                        <c:v>58.723952647221559</c:v>
                      </c:pt>
                      <c:pt idx="10">
                        <c:v>53.795677816475774</c:v>
                      </c:pt>
                      <c:pt idx="11">
                        <c:v>48.588344549864516</c:v>
                      </c:pt>
                      <c:pt idx="12">
                        <c:v>43.381095175207733</c:v>
                      </c:pt>
                      <c:pt idx="13">
                        <c:v>38.42178458122418</c:v>
                      </c:pt>
                      <c:pt idx="14">
                        <c:v>33.889442327117671</c:v>
                      </c:pt>
                      <c:pt idx="15">
                        <c:v>29.867763862902869</c:v>
                      </c:pt>
                    </c:numCache>
                  </c:numRef>
                </c:yVal>
                <c:smooth val="1"/>
                <c:extLst xmlns:c15="http://schemas.microsoft.com/office/drawing/2012/chart">
                  <c:ext xmlns:c16="http://schemas.microsoft.com/office/drawing/2014/chart" uri="{C3380CC4-5D6E-409C-BE32-E72D297353CC}">
                    <c16:uniqueId val="{00000005-4E7E-4D41-8578-830179D80656}"/>
                  </c:ext>
                </c:extLst>
              </c15:ser>
            </c15:filteredScatterSeries>
            <c15:filteredScatterSeries>
              <c15:ser>
                <c:idx val="5"/>
                <c:order val="5"/>
                <c:tx>
                  <c:strRef>
                    <c:extLst xmlns:c15="http://schemas.microsoft.com/office/drawing/2012/chart">
                      <c:ext xmlns:c15="http://schemas.microsoft.com/office/drawing/2012/chart" uri="{02D57815-91ED-43cb-92C2-25804820EDAC}">
                        <c15:formulaRef>
                          <c15:sqref>'主翼(平面形結果)'!$W$44</c15:sqref>
                        </c15:formulaRef>
                      </c:ext>
                    </c:extLst>
                    <c:strCache>
                      <c:ptCount val="1"/>
                      <c:pt idx="0">
                        <c:v>case6</c:v>
                      </c:pt>
                    </c:strCache>
                  </c:strRef>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'主翼(平面形結果)'!$W$46:$W$61</c15:sqref>
                        </c15:formulaRef>
                      </c:ext>
                    </c:extLst>
                    <c:numCache>
                      <c:formatCode>General</c:formatCode>
                      <c:ptCount val="16"/>
                      <c:pt idx="0">
                        <c:v>0.42220986894135343</c:v>
                      </c:pt>
                      <c:pt idx="1">
                        <c:v>0.53808284201360423</c:v>
                      </c:pt>
                      <c:pt idx="2">
                        <c:v>0.65320665744349193</c:v>
                      </c:pt>
                      <c:pt idx="3">
                        <c:v>0.76696749608764636</c:v>
                      </c:pt>
                      <c:pt idx="4">
                        <c:v>0.87773796692470463</c:v>
                      </c:pt>
                      <c:pt idx="5">
                        <c:v>0.9832071973213331</c:v>
                      </c:pt>
                      <c:pt idx="6">
                        <c:v>1.0810081098214603</c:v>
                      </c:pt>
                      <c:pt idx="7">
                        <c:v>1.1689949072603625</c:v>
                      </c:pt>
                      <c:pt idx="8">
                        <c:v>1.2457640630183142</c:v>
                      </c:pt>
                      <c:pt idx="9">
                        <c:v>1.310345208300886</c:v>
                      </c:pt>
                      <c:pt idx="10">
                        <c:v>1.3626586070056004</c:v>
                      </c:pt>
                      <c:pt idx="11">
                        <c:v>1.4033092531291642</c:v>
                      </c:pt>
                      <c:pt idx="12">
                        <c:v>1.433658169481042</c:v>
                      </c:pt>
                      <c:pt idx="13">
                        <c:v>1.4560816959192397</c:v>
                      </c:pt>
                      <c:pt idx="14">
                        <c:v>1.4734104045534535</c:v>
                      </c:pt>
                      <c:pt idx="15">
                        <c:v>1.4883013337930915</c:v>
                      </c:pt>
                    </c:numCache>
                  </c:numRef>
                </c:xVal>
                <c:yVal>
                  <c:numRef>
                    <c:extLst xmlns:c15="http://schemas.microsoft.com/office/drawing/2012/chart">
                      <c:ext xmlns:c15="http://schemas.microsoft.com/office/drawing/2012/chart" uri="{02D57815-91ED-43cb-92C2-25804820EDAC}">
                        <c15:formulaRef>
                          <c15:sqref>'主翼(平面形結果)'!$Y$46:$Y$61</c15:sqref>
                        </c15:formulaRef>
                      </c:ext>
                    </c:extLst>
                    <c:numCache>
                      <c:formatCode>General</c:formatCode>
                      <c:ptCount val="16"/>
                      <c:pt idx="0">
                        <c:v>40.562235854829666</c:v>
                      </c:pt>
                      <c:pt idx="1">
                        <c:v>49.503169290164955</c:v>
                      </c:pt>
                      <c:pt idx="2">
                        <c:v>55.513424354964506</c:v>
                      </c:pt>
                      <c:pt idx="3">
                        <c:v>58.717715279249596</c:v>
                      </c:pt>
                      <c:pt idx="4">
                        <c:v>59.736689758001788</c:v>
                      </c:pt>
                      <c:pt idx="5">
                        <c:v>59.231828951492062</c:v>
                      </c:pt>
                      <c:pt idx="6">
                        <c:v>57.717400964855287</c:v>
                      </c:pt>
                      <c:pt idx="7">
                        <c:v>55.440269998858383</c:v>
                      </c:pt>
                      <c:pt idx="8">
                        <c:v>52.634555572305018</c:v>
                      </c:pt>
                      <c:pt idx="9">
                        <c:v>49.345692685370949</c:v>
                      </c:pt>
                      <c:pt idx="10">
                        <c:v>45.746889645927105</c:v>
                      </c:pt>
                      <c:pt idx="11">
                        <c:v>41.970638291648626</c:v>
                      </c:pt>
                      <c:pt idx="12">
                        <c:v>38.06643501062149</c:v>
                      </c:pt>
                      <c:pt idx="13">
                        <c:v>34.244198583761346</c:v>
                      </c:pt>
                      <c:pt idx="14">
                        <c:v>30.658812788518912</c:v>
                      </c:pt>
                      <c:pt idx="15">
                        <c:v>27.418637991152693</c:v>
                      </c:pt>
                    </c:numCache>
                  </c:numRef>
                </c:yVal>
                <c:smooth val="1"/>
                <c:extLst xmlns:c15="http://schemas.microsoft.com/office/drawing/2012/chart">
                  <c:ext xmlns:c16="http://schemas.microsoft.com/office/drawing/2014/chart" uri="{C3380CC4-5D6E-409C-BE32-E72D297353CC}">
                    <c16:uniqueId val="{00000006-4E7E-4D41-8578-830179D80656}"/>
                  </c:ext>
                </c:extLst>
              </c15:ser>
            </c15:filteredScatterSeries>
          </c:ext>
        </c:extLst>
      </c:scatterChart>
      <c:valAx>
        <c:axId val="10541413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54139424"/>
        <c:crosses val="autoZero"/>
        <c:crossBetween val="midCat"/>
      </c:valAx>
      <c:valAx>
        <c:axId val="105413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541413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L/D</a:t>
            </a:r>
            <a:r>
              <a:rPr lang="en-US" altLang="ja-JP" baseline="0"/>
              <a:t> vs  alpha</a:t>
            </a:r>
            <a:endParaRPr lang="ja-JP"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ltLang="en-US"/>
        </a:p>
      </c:txPr>
    </c:title>
    <c:autoTitleDeleted val="0"/>
    <c:plotArea>
      <c:layout/>
      <c:scatterChart>
        <c:scatterStyle val="smoothMarker"/>
        <c:varyColors val="0"/>
        <c:ser>
          <c:idx val="0"/>
          <c:order val="0"/>
          <c:tx>
            <c:strRef>
              <c:f>'主翼(平面形結果)'!$C$44</c:f>
              <c:strCache>
                <c:ptCount val="1"/>
                <c:pt idx="0">
                  <c:v>case1</c:v>
                </c:pt>
              </c:strCache>
            </c:strRef>
          </c:tx>
          <c:spPr>
            <a:ln w="19050" cap="rnd">
              <a:solidFill>
                <a:schemeClr val="accent1"/>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'主翼(平面形結果)'!$E$46:$E$61</c:f>
              <c:numCache>
                <c:formatCode>General</c:formatCode>
                <c:ptCount val="16"/>
                <c:pt idx="0">
                  <c:v>34.916188366551353</c:v>
                </c:pt>
                <c:pt idx="1">
                  <c:v>46.100488270857703</c:v>
                </c:pt>
                <c:pt idx="2">
                  <c:v>55.758824702601373</c:v>
                </c:pt>
                <c:pt idx="3">
                  <c:v>62.948791239930266</c:v>
                </c:pt>
                <c:pt idx="4">
                  <c:v>67.298016090808247</c:v>
                </c:pt>
                <c:pt idx="5">
                  <c:v>68.96614320855636</c:v>
                </c:pt>
                <c:pt idx="6">
                  <c:v>68.436320011615962</c:v>
                </c:pt>
                <c:pt idx="7">
                  <c:v>66.269853600879102</c:v>
                </c:pt>
                <c:pt idx="8">
                  <c:v>62.731279626539767</c:v>
                </c:pt>
                <c:pt idx="9">
                  <c:v>58.334647681659298</c:v>
                </c:pt>
                <c:pt idx="10">
                  <c:v>53.32636689717603</c:v>
                </c:pt>
                <c:pt idx="11">
                  <c:v>48.021663279151674</c:v>
                </c:pt>
                <c:pt idx="12">
                  <c:v>42.726019708247541</c:v>
                </c:pt>
                <c:pt idx="13">
                  <c:v>37.703574625136511</c:v>
                </c:pt>
                <c:pt idx="14">
                  <c:v>33.137089944019131</c:v>
                </c:pt>
                <c:pt idx="15">
                  <c:v>29.104232034994869</c:v>
                </c:pt>
              </c:numCache>
            </c:numRef>
          </c:yVal>
          <c:smooth val="1"/>
          <c:extLst>
            <c:ext xmlns:c16="http://schemas.microsoft.com/office/drawing/2014/chart" uri="{C3380CC4-5D6E-409C-BE32-E72D297353CC}">
              <c16:uniqueId val="{00000000-D5BB-4D28-8A98-3FF6843C5B29}"/>
            </c:ext>
          </c:extLst>
        </c:ser>
        <c:ser>
          <c:idx val="1"/>
          <c:order val="1"/>
          <c:tx>
            <c:strRef>
              <c:f>'主翼(平面形結果)'!$G$44</c:f>
              <c:strCache>
                <c:ptCount val="1"/>
                <c:pt idx="0">
                  <c:v>case2</c:v>
                </c:pt>
              </c:strCache>
            </c:strRef>
          </c:tx>
          <c:spPr>
            <a:ln w="19050" cap="rnd">
              <a:solidFill>
                <a:schemeClr val="accent2"/>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'主翼(平面形結果)'!$I$46:$I$61</c:f>
              <c:numCache>
                <c:formatCode>General</c:formatCode>
                <c:ptCount val="16"/>
                <c:pt idx="0">
                  <c:v>35.692272613905189</c:v>
                </c:pt>
                <c:pt idx="1">
                  <c:v>47.197231355263646</c:v>
                </c:pt>
                <c:pt idx="2">
                  <c:v>56.98730487655655</c:v>
                </c:pt>
                <c:pt idx="3">
                  <c:v>64.111275165188403</c:v>
                </c:pt>
                <c:pt idx="4">
                  <c:v>68.261416096566023</c:v>
                </c:pt>
                <c:pt idx="5">
                  <c:v>69.690527485348682</c:v>
                </c:pt>
                <c:pt idx="6">
                  <c:v>68.958295331254703</c:v>
                </c:pt>
                <c:pt idx="7">
                  <c:v>66.591323900526532</c:v>
                </c:pt>
                <c:pt idx="8">
                  <c:v>63.087685580675029</c:v>
                </c:pt>
                <c:pt idx="9">
                  <c:v>58.723952647221559</c:v>
                </c:pt>
                <c:pt idx="10">
                  <c:v>53.795677816475774</c:v>
                </c:pt>
                <c:pt idx="11">
                  <c:v>48.588344549864516</c:v>
                </c:pt>
                <c:pt idx="12">
                  <c:v>43.381095175207733</c:v>
                </c:pt>
                <c:pt idx="13">
                  <c:v>38.42178458122418</c:v>
                </c:pt>
                <c:pt idx="14">
                  <c:v>33.889442327117671</c:v>
                </c:pt>
                <c:pt idx="15">
                  <c:v>29.867763862902869</c:v>
                </c:pt>
              </c:numCache>
            </c:numRef>
          </c:yVal>
          <c:smooth val="1"/>
          <c:extLst>
            <c:ext xmlns:c16="http://schemas.microsoft.com/office/drawing/2014/chart" uri="{C3380CC4-5D6E-409C-BE32-E72D297353CC}">
              <c16:uniqueId val="{00000001-D5BB-4D28-8A98-3FF6843C5B29}"/>
            </c:ext>
          </c:extLst>
        </c:ser>
        <c:ser>
          <c:idx val="2"/>
          <c:order val="2"/>
          <c:tx>
            <c:strRef>
              <c:f>'主翼(平面形結果)'!$K$44</c:f>
              <c:strCache>
                <c:ptCount val="1"/>
                <c:pt idx="0">
                  <c:v>case3</c:v>
                </c:pt>
              </c:strCache>
            </c:strRef>
          </c:tx>
          <c:spPr>
            <a:ln w="19050" cap="rnd">
              <a:solidFill>
                <a:schemeClr val="accent3"/>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'主翼(平面形結果)'!$M$46:$M$61</c:f>
              <c:numCache>
                <c:formatCode>General</c:formatCode>
                <c:ptCount val="16"/>
                <c:pt idx="0">
                  <c:v>36.266110920800067</c:v>
                </c:pt>
                <c:pt idx="1">
                  <c:v>48.087863038114563</c:v>
                </c:pt>
                <c:pt idx="2">
                  <c:v>57.999936428040655</c:v>
                </c:pt>
                <c:pt idx="3">
                  <c:v>65.041481500616229</c:v>
                </c:pt>
                <c:pt idx="4">
                  <c:v>68.978606107781431</c:v>
                </c:pt>
                <c:pt idx="5">
                  <c:v>70.167460347892217</c:v>
                </c:pt>
                <c:pt idx="6">
                  <c:v>69.248021369066294</c:v>
                </c:pt>
                <c:pt idx="7">
                  <c:v>66.78466176507753</c:v>
                </c:pt>
                <c:pt idx="8">
                  <c:v>63.281374800479078</c:v>
                </c:pt>
                <c:pt idx="9">
                  <c:v>58.996017127865564</c:v>
                </c:pt>
                <c:pt idx="10">
                  <c:v>54.195187119732623</c:v>
                </c:pt>
                <c:pt idx="11">
                  <c:v>49.131317908503725</c:v>
                </c:pt>
                <c:pt idx="12">
                  <c:v>44.054115088546986</c:v>
                </c:pt>
                <c:pt idx="13">
                  <c:v>47.220096641063222</c:v>
                </c:pt>
                <c:pt idx="14">
                  <c:v>40.750015715576978</c:v>
                </c:pt>
                <c:pt idx="15">
                  <c:v>30.729154097860949</c:v>
                </c:pt>
              </c:numCache>
            </c:numRef>
          </c:yVal>
          <c:smooth val="1"/>
          <c:extLst>
            <c:ext xmlns:c16="http://schemas.microsoft.com/office/drawing/2014/chart" uri="{C3380CC4-5D6E-409C-BE32-E72D297353CC}">
              <c16:uniqueId val="{00000002-D5BB-4D28-8A98-3FF6843C5B29}"/>
            </c:ext>
          </c:extLst>
        </c:ser>
        <c:dLbls>
          <c:showLegendKey val="0"/>
          <c:showVal val="0"/>
          <c:showCatName val="0"/>
          <c:showSerName val="0"/>
          <c:showPercent val="0"/>
          <c:showBubbleSize val="0"/>
        </c:dLbls>
        <c:axId val="9386144"/>
        <c:axId val="9376064"/>
        <c:extLst>
          <c:ext xmlns:c15="http://schemas.microsoft.com/office/drawing/2012/chart" uri="{02D57815-91ED-43cb-92C2-25804820EDAC}">
            <c15:filteredScatterSeries>
              <c15:ser>
                <c:idx val="3"/>
                <c:order val="3"/>
                <c:tx>
                  <c:strRef>
                    <c:extLst>
                      <c:ext uri="{02D57815-91ED-43cb-92C2-25804820EDAC}">
                        <c15:formulaRef>
                          <c15:sqref>'主翼(平面形結果)'!$O$44</c15:sqref>
                        </c15:formulaRef>
                      </c:ext>
                    </c:extLst>
                    <c:strCache>
                      <c:ptCount val="1"/>
                      <c:pt idx="0">
                        <c:v>case4</c:v>
                      </c:pt>
                    </c:strCache>
                  </c:strRef>
                </c:tx>
                <c:spPr>
                  <a:ln w="19050" cap="rnd">
                    <a:solidFill>
                      <a:schemeClr val="accent4"/>
                    </a:solidFill>
                    <a:round/>
                  </a:ln>
                  <a:effectLst/>
                </c:spPr>
                <c:marker>
                  <c:symbol val="none"/>
                </c:marker>
                <c:xVal>
                  <c:numRef>
                    <c:extLst>
                      <c:ex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c:ext uri="{02D57815-91ED-43cb-92C2-25804820EDAC}">
                        <c15:formulaRef>
                          <c15:sqref>'主翼(平面形結果)'!$Q$46:$Q$61</c15:sqref>
                        </c15:formulaRef>
                      </c:ext>
                    </c:extLst>
                    <c:numCache>
                      <c:formatCode>General</c:formatCode>
                      <c:ptCount val="16"/>
                      <c:pt idx="0">
                        <c:v>34.558283367264941</c:v>
                      </c:pt>
                      <c:pt idx="1">
                        <c:v>45.789128674764534</c:v>
                      </c:pt>
                      <c:pt idx="2">
                        <c:v>55.523615000613354</c:v>
                      </c:pt>
                      <c:pt idx="3">
                        <c:v>62.79989163844548</c:v>
                      </c:pt>
                      <c:pt idx="4">
                        <c:v>67.231906998340122</c:v>
                      </c:pt>
                      <c:pt idx="5">
                        <c:v>68.970793466545274</c:v>
                      </c:pt>
                      <c:pt idx="6">
                        <c:v>68.493839560192754</c:v>
                      </c:pt>
                      <c:pt idx="7">
                        <c:v>66.296712652940499</c:v>
                      </c:pt>
                      <c:pt idx="8">
                        <c:v>62.870663827877813</c:v>
                      </c:pt>
                      <c:pt idx="9">
                        <c:v>58.506806277342356</c:v>
                      </c:pt>
                      <c:pt idx="10">
                        <c:v>53.523475755088441</c:v>
                      </c:pt>
                      <c:pt idx="11">
                        <c:v>48.232861938105422</c:v>
                      </c:pt>
                      <c:pt idx="12">
                        <c:v>42.938675825943754</c:v>
                      </c:pt>
                      <c:pt idx="13">
                        <c:v>37.905853168636533</c:v>
                      </c:pt>
                      <c:pt idx="14">
                        <c:v>33.320595644287984</c:v>
                      </c:pt>
                      <c:pt idx="15">
                        <c:v>29.26548865731387</c:v>
                      </c:pt>
                    </c:numCache>
                  </c:numRef>
                </c:yVal>
                <c:smooth val="1"/>
                <c:extLst>
                  <c:ext xmlns:c16="http://schemas.microsoft.com/office/drawing/2014/chart" uri="{C3380CC4-5D6E-409C-BE32-E72D297353CC}">
                    <c16:uniqueId val="{00000003-D5BB-4D28-8A98-3FF6843C5B29}"/>
                  </c:ext>
                </c:extLst>
              </c15:ser>
            </c15:filteredScatterSeries>
            <c15:filteredScatterSeries>
              <c15:ser>
                <c:idx val="4"/>
                <c:order val="4"/>
                <c:tx>
                  <c:strRef>
                    <c:extLst xmlns:c15="http://schemas.microsoft.com/office/drawing/2012/chart">
                      <c:ext xmlns:c15="http://schemas.microsoft.com/office/drawing/2012/chart" uri="{02D57815-91ED-43cb-92C2-25804820EDAC}">
                        <c15:formulaRef>
                          <c15:sqref>'主翼(平面形結果)'!$S$44</c15:sqref>
                        </c15:formulaRef>
                      </c:ext>
                    </c:extLst>
                    <c:strCache>
                      <c:ptCount val="1"/>
                      <c:pt idx="0">
                        <c:v>case5</c:v>
                      </c:pt>
                    </c:strCache>
                  </c:strRef>
                </c:tx>
                <c:spPr>
                  <a:ln w="19050" cap="rnd">
                    <a:solidFill>
                      <a:schemeClr val="accent5"/>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xmlns:c15="http://schemas.microsoft.com/office/drawing/2012/chart">
                      <c:ext xmlns:c15="http://schemas.microsoft.com/office/drawing/2012/chart" uri="{02D57815-91ED-43cb-92C2-25804820EDAC}">
                        <c15:formulaRef>
                          <c15:sqref>'主翼(平面形結果)'!$U$46:$U$61</c15:sqref>
                        </c15:formulaRef>
                      </c:ext>
                    </c:extLst>
                    <c:numCache>
                      <c:formatCode>General</c:formatCode>
                      <c:ptCount val="16"/>
                      <c:pt idx="0">
                        <c:v>35.692272613905189</c:v>
                      </c:pt>
                      <c:pt idx="1">
                        <c:v>47.197231355263646</c:v>
                      </c:pt>
                      <c:pt idx="2">
                        <c:v>56.98730487655655</c:v>
                      </c:pt>
                      <c:pt idx="3">
                        <c:v>64.111275165188403</c:v>
                      </c:pt>
                      <c:pt idx="4">
                        <c:v>68.261416096566023</c:v>
                      </c:pt>
                      <c:pt idx="5">
                        <c:v>69.690527485348682</c:v>
                      </c:pt>
                      <c:pt idx="6">
                        <c:v>68.958295331254703</c:v>
                      </c:pt>
                      <c:pt idx="7">
                        <c:v>66.591323900526532</c:v>
                      </c:pt>
                      <c:pt idx="8">
                        <c:v>63.087685580675029</c:v>
                      </c:pt>
                      <c:pt idx="9">
                        <c:v>58.723952647221559</c:v>
                      </c:pt>
                      <c:pt idx="10">
                        <c:v>53.795677816475774</c:v>
                      </c:pt>
                      <c:pt idx="11">
                        <c:v>48.588344549864516</c:v>
                      </c:pt>
                      <c:pt idx="12">
                        <c:v>43.381095175207733</c:v>
                      </c:pt>
                      <c:pt idx="13">
                        <c:v>38.42178458122418</c:v>
                      </c:pt>
                      <c:pt idx="14">
                        <c:v>33.889442327117671</c:v>
                      </c:pt>
                      <c:pt idx="15">
                        <c:v>29.867763862902869</c:v>
                      </c:pt>
                    </c:numCache>
                  </c:numRef>
                </c:yVal>
                <c:smooth val="1"/>
                <c:extLst xmlns:c15="http://schemas.microsoft.com/office/drawing/2012/chart">
                  <c:ext xmlns:c16="http://schemas.microsoft.com/office/drawing/2014/chart" uri="{C3380CC4-5D6E-409C-BE32-E72D297353CC}">
                    <c16:uniqueId val="{00000004-D5BB-4D28-8A98-3FF6843C5B29}"/>
                  </c:ext>
                </c:extLst>
              </c15:ser>
            </c15:filteredScatterSeries>
            <c15:filteredScatterSeries>
              <c15:ser>
                <c:idx val="5"/>
                <c:order val="5"/>
                <c:tx>
                  <c:strRef>
                    <c:extLst xmlns:c15="http://schemas.microsoft.com/office/drawing/2012/chart">
                      <c:ext xmlns:c15="http://schemas.microsoft.com/office/drawing/2012/chart" uri="{02D57815-91ED-43cb-92C2-25804820EDAC}">
                        <c15:formulaRef>
                          <c15:sqref>'主翼(平面形結果)'!$W$44</c15:sqref>
                        </c15:formulaRef>
                      </c:ext>
                    </c:extLst>
                    <c:strCache>
                      <c:ptCount val="1"/>
                      <c:pt idx="0">
                        <c:v>case6</c:v>
                      </c:pt>
                    </c:strCache>
                  </c:strRef>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xmlns:c15="http://schemas.microsoft.com/office/drawing/2012/chart">
                      <c:ext xmlns:c15="http://schemas.microsoft.com/office/drawing/2012/chart" uri="{02D57815-91ED-43cb-92C2-25804820EDAC}">
                        <c15:formulaRef>
                          <c15:sqref>'主翼(平面形結果)'!$Y$46:$Y$61</c15:sqref>
                        </c15:formulaRef>
                      </c:ext>
                    </c:extLst>
                    <c:numCache>
                      <c:formatCode>General</c:formatCode>
                      <c:ptCount val="16"/>
                      <c:pt idx="0">
                        <c:v>40.562235854829666</c:v>
                      </c:pt>
                      <c:pt idx="1">
                        <c:v>49.503169290164955</c:v>
                      </c:pt>
                      <c:pt idx="2">
                        <c:v>55.513424354964506</c:v>
                      </c:pt>
                      <c:pt idx="3">
                        <c:v>58.717715279249596</c:v>
                      </c:pt>
                      <c:pt idx="4">
                        <c:v>59.736689758001788</c:v>
                      </c:pt>
                      <c:pt idx="5">
                        <c:v>59.231828951492062</c:v>
                      </c:pt>
                      <c:pt idx="6">
                        <c:v>57.717400964855287</c:v>
                      </c:pt>
                      <c:pt idx="7">
                        <c:v>55.440269998858383</c:v>
                      </c:pt>
                      <c:pt idx="8">
                        <c:v>52.634555572305018</c:v>
                      </c:pt>
                      <c:pt idx="9">
                        <c:v>49.345692685370949</c:v>
                      </c:pt>
                      <c:pt idx="10">
                        <c:v>45.746889645927105</c:v>
                      </c:pt>
                      <c:pt idx="11">
                        <c:v>41.970638291648626</c:v>
                      </c:pt>
                      <c:pt idx="12">
                        <c:v>38.06643501062149</c:v>
                      </c:pt>
                      <c:pt idx="13">
                        <c:v>34.244198583761346</c:v>
                      </c:pt>
                      <c:pt idx="14">
                        <c:v>30.658812788518912</c:v>
                      </c:pt>
                      <c:pt idx="15">
                        <c:v>27.418637991152693</c:v>
                      </c:pt>
                    </c:numCache>
                  </c:numRef>
                </c:yVal>
                <c:smooth val="1"/>
                <c:extLst xmlns:c15="http://schemas.microsoft.com/office/drawing/2012/chart">
                  <c:ext xmlns:c16="http://schemas.microsoft.com/office/drawing/2014/chart" uri="{C3380CC4-5D6E-409C-BE32-E72D297353CC}">
                    <c16:uniqueId val="{00000005-D5BB-4D28-8A98-3FF6843C5B29}"/>
                  </c:ext>
                </c:extLst>
              </c15:ser>
            </c15:filteredScatterSeries>
          </c:ext>
        </c:extLst>
      </c:scatterChart>
      <c:valAx>
        <c:axId val="93861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376064"/>
        <c:crosses val="autoZero"/>
        <c:crossBetween val="midCat"/>
      </c:valAx>
      <c:valAx>
        <c:axId val="93760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3861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Cd</a:t>
            </a:r>
            <a:r>
              <a:rPr lang="en-US" altLang="ja-JP" baseline="0"/>
              <a:t> vs alpha</a:t>
            </a:r>
            <a:endParaRPr lang="ja-JP"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ltLang="en-US"/>
        </a:p>
      </c:txPr>
    </c:title>
    <c:autoTitleDeleted val="0"/>
    <c:plotArea>
      <c:layout/>
      <c:scatterChart>
        <c:scatterStyle val="smoothMarker"/>
        <c:varyColors val="0"/>
        <c:ser>
          <c:idx val="0"/>
          <c:order val="0"/>
          <c:tx>
            <c:strRef>
              <c:f>'主翼(平面形結果)'!$C$44</c:f>
              <c:strCache>
                <c:ptCount val="1"/>
                <c:pt idx="0">
                  <c:v>case1</c:v>
                </c:pt>
              </c:strCache>
            </c:strRef>
          </c:tx>
          <c:spPr>
            <a:ln w="19050" cap="rnd">
              <a:solidFill>
                <a:schemeClr val="accent1"/>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'主翼(平面形結果)'!$D$46:$D$61</c:f>
              <c:numCache>
                <c:formatCode>General</c:formatCode>
                <c:ptCount val="16"/>
                <c:pt idx="0">
                  <c:v>1.1097963634641408E-2</c:v>
                </c:pt>
                <c:pt idx="1">
                  <c:v>1.0849159633787755E-2</c:v>
                </c:pt>
                <c:pt idx="2">
                  <c:v>1.0990263524104963E-2</c:v>
                </c:pt>
                <c:pt idx="3">
                  <c:v>1.1525991599841582E-2</c:v>
                </c:pt>
                <c:pt idx="4">
                  <c:v>1.2447895397306645E-2</c:v>
                </c:pt>
                <c:pt idx="5">
                  <c:v>1.3742851724897072E-2</c:v>
                </c:pt>
                <c:pt idx="6">
                  <c:v>1.5394039183735431E-2</c:v>
                </c:pt>
                <c:pt idx="7">
                  <c:v>1.7388164804563597E-2</c:v>
                </c:pt>
                <c:pt idx="8">
                  <c:v>1.9788791291199259E-2</c:v>
                </c:pt>
                <c:pt idx="9">
                  <c:v>2.260703733214733E-2</c:v>
                </c:pt>
                <c:pt idx="10">
                  <c:v>2.5937992949759309E-2</c:v>
                </c:pt>
                <c:pt idx="11">
                  <c:v>2.9873477018901855E-2</c:v>
                </c:pt>
                <c:pt idx="12">
                  <c:v>3.4505088068729019E-2</c:v>
                </c:pt>
                <c:pt idx="13">
                  <c:v>3.9908329626197489E-2</c:v>
                </c:pt>
                <c:pt idx="14">
                  <c:v>4.6136155484577696E-2</c:v>
                </c:pt>
                <c:pt idx="15">
                  <c:v>5.3231329658654625E-2</c:v>
                </c:pt>
              </c:numCache>
            </c:numRef>
          </c:yVal>
          <c:smooth val="1"/>
          <c:extLst>
            <c:ext xmlns:c16="http://schemas.microsoft.com/office/drawing/2014/chart" uri="{C3380CC4-5D6E-409C-BE32-E72D297353CC}">
              <c16:uniqueId val="{00000000-5842-49F3-ACA9-071EB67AF503}"/>
            </c:ext>
          </c:extLst>
        </c:ser>
        <c:ser>
          <c:idx val="1"/>
          <c:order val="1"/>
          <c:tx>
            <c:strRef>
              <c:f>'主翼(平面形結果)'!$G$44</c:f>
              <c:strCache>
                <c:ptCount val="1"/>
                <c:pt idx="0">
                  <c:v>case2</c:v>
                </c:pt>
              </c:strCache>
            </c:strRef>
          </c:tx>
          <c:spPr>
            <a:ln w="19050" cap="rnd">
              <a:solidFill>
                <a:schemeClr val="accent2"/>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'主翼(平面形結果)'!$H$46:$H$61</c:f>
              <c:numCache>
                <c:formatCode>General</c:formatCode>
                <c:ptCount val="16"/>
                <c:pt idx="0">
                  <c:v>1.0726282020564365E-2</c:v>
                </c:pt>
                <c:pt idx="1">
                  <c:v>1.0524180654839085E-2</c:v>
                </c:pt>
                <c:pt idx="2">
                  <c:v>1.0710490256118583E-2</c:v>
                </c:pt>
                <c:pt idx="3">
                  <c:v>1.128969973369467E-2</c:v>
                </c:pt>
                <c:pt idx="4">
                  <c:v>1.225093071202623E-2</c:v>
                </c:pt>
                <c:pt idx="5">
                  <c:v>1.3576749646939633E-2</c:v>
                </c:pt>
                <c:pt idx="6">
                  <c:v>1.5244643889954144E-2</c:v>
                </c:pt>
                <c:pt idx="7">
                  <c:v>1.7253018411008798E-2</c:v>
                </c:pt>
                <c:pt idx="8">
                  <c:v>1.960391622257468E-2</c:v>
                </c:pt>
                <c:pt idx="9">
                  <c:v>2.2355903879742837E-2</c:v>
                </c:pt>
                <c:pt idx="10">
                  <c:v>2.5578983917829839E-2</c:v>
                </c:pt>
                <c:pt idx="11">
                  <c:v>2.9358707369638488E-2</c:v>
                </c:pt>
                <c:pt idx="12">
                  <c:v>3.3781906132927961E-2</c:v>
                </c:pt>
                <c:pt idx="13">
                  <c:v>3.8920992091514811E-2</c:v>
                </c:pt>
                <c:pt idx="14">
                  <c:v>4.4826125684652079E-2</c:v>
                </c:pt>
                <c:pt idx="15">
                  <c:v>5.1534762982444519E-2</c:v>
                </c:pt>
              </c:numCache>
            </c:numRef>
          </c:yVal>
          <c:smooth val="1"/>
          <c:extLst>
            <c:ext xmlns:c16="http://schemas.microsoft.com/office/drawing/2014/chart" uri="{C3380CC4-5D6E-409C-BE32-E72D297353CC}">
              <c16:uniqueId val="{00000001-5842-49F3-ACA9-071EB67AF503}"/>
            </c:ext>
          </c:extLst>
        </c:ser>
        <c:ser>
          <c:idx val="2"/>
          <c:order val="2"/>
          <c:tx>
            <c:strRef>
              <c:f>'主翼(平面形結果)'!$K$44</c:f>
              <c:strCache>
                <c:ptCount val="1"/>
                <c:pt idx="0">
                  <c:v>case3</c:v>
                </c:pt>
              </c:strCache>
            </c:strRef>
          </c:tx>
          <c:spPr>
            <a:ln w="19050" cap="rnd">
              <a:solidFill>
                <a:schemeClr val="accent3"/>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'主翼(平面形結果)'!$L$46:$L$61</c:f>
              <c:numCache>
                <c:formatCode>General</c:formatCode>
                <c:ptCount val="16"/>
                <c:pt idx="0">
                  <c:v>1.0413870211208306E-2</c:v>
                </c:pt>
                <c:pt idx="1">
                  <c:v>1.0251876395319196E-2</c:v>
                </c:pt>
                <c:pt idx="2">
                  <c:v>1.0479657145880502E-2</c:v>
                </c:pt>
                <c:pt idx="3">
                  <c:v>1.1101027554562153E-2</c:v>
                </c:pt>
                <c:pt idx="4">
                  <c:v>1.2101451404009662E-2</c:v>
                </c:pt>
                <c:pt idx="5">
                  <c:v>1.3457553877427975E-2</c:v>
                </c:pt>
                <c:pt idx="6">
                  <c:v>1.513965612795631E-2</c:v>
                </c:pt>
                <c:pt idx="7">
                  <c:v>1.7138763500328922E-2</c:v>
                </c:pt>
                <c:pt idx="8">
                  <c:v>1.9449242888637815E-2</c:v>
                </c:pt>
                <c:pt idx="9">
                  <c:v>2.2122562313734676E-2</c:v>
                </c:pt>
                <c:pt idx="10">
                  <c:v>2.5221474664094426E-2</c:v>
                </c:pt>
                <c:pt idx="11">
                  <c:v>2.8824790477325959E-2</c:v>
                </c:pt>
                <c:pt idx="12">
                  <c:v>3.3013961808847858E-2</c:v>
                </c:pt>
                <c:pt idx="13">
                  <c:v>3.1565457873161819E-2</c:v>
                </c:pt>
                <c:pt idx="14">
                  <c:v>3.7120856262791331E-2</c:v>
                </c:pt>
                <c:pt idx="15">
                  <c:v>4.9681522800443752E-2</c:v>
                </c:pt>
              </c:numCache>
            </c:numRef>
          </c:yVal>
          <c:smooth val="1"/>
          <c:extLst>
            <c:ext xmlns:c16="http://schemas.microsoft.com/office/drawing/2014/chart" uri="{C3380CC4-5D6E-409C-BE32-E72D297353CC}">
              <c16:uniqueId val="{00000002-5842-49F3-ACA9-071EB67AF503}"/>
            </c:ext>
          </c:extLst>
        </c:ser>
        <c:dLbls>
          <c:showLegendKey val="0"/>
          <c:showVal val="0"/>
          <c:showCatName val="0"/>
          <c:showSerName val="0"/>
          <c:showPercent val="0"/>
          <c:showBubbleSize val="0"/>
        </c:dLbls>
        <c:axId val="666639408"/>
        <c:axId val="666642288"/>
        <c:extLst>
          <c:ext xmlns:c15="http://schemas.microsoft.com/office/drawing/2012/chart" uri="{02D57815-91ED-43cb-92C2-25804820EDAC}">
            <c15:filteredScatterSeries>
              <c15:ser>
                <c:idx val="3"/>
                <c:order val="3"/>
                <c:tx>
                  <c:strRef>
                    <c:extLst>
                      <c:ext uri="{02D57815-91ED-43cb-92C2-25804820EDAC}">
                        <c15:formulaRef>
                          <c15:sqref>'主翼(平面形結果)'!$O$44</c15:sqref>
                        </c15:formulaRef>
                      </c:ext>
                    </c:extLst>
                    <c:strCache>
                      <c:ptCount val="1"/>
                      <c:pt idx="0">
                        <c:v>case4</c:v>
                      </c:pt>
                    </c:strCache>
                  </c:strRef>
                </c:tx>
                <c:spPr>
                  <a:ln w="19050" cap="rnd">
                    <a:solidFill>
                      <a:schemeClr val="accent4"/>
                    </a:solidFill>
                    <a:round/>
                  </a:ln>
                  <a:effectLst/>
                </c:spPr>
                <c:marker>
                  <c:symbol val="none"/>
                </c:marker>
                <c:xVal>
                  <c:numRef>
                    <c:extLst>
                      <c:ex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c:ext uri="{02D57815-91ED-43cb-92C2-25804820EDAC}">
                        <c15:formulaRef>
                          <c15:sqref>'主翼(平面形結果)'!$P$46:$P$61</c15:sqref>
                        </c15:formulaRef>
                      </c:ext>
                    </c:extLst>
                    <c:numCache>
                      <c:formatCode>General</c:formatCode>
                      <c:ptCount val="16"/>
                      <c:pt idx="0">
                        <c:v>1.1093096083199718E-2</c:v>
                      </c:pt>
                      <c:pt idx="1">
                        <c:v>1.0832864030365002E-2</c:v>
                      </c:pt>
                      <c:pt idx="2">
                        <c:v>1.0962364795188164E-2</c:v>
                      </c:pt>
                      <c:pt idx="3">
                        <c:v>1.1487297417976217E-2</c:v>
                      </c:pt>
                      <c:pt idx="4">
                        <c:v>1.2398768555757552E-2</c:v>
                      </c:pt>
                      <c:pt idx="5">
                        <c:v>1.3683365753424671E-2</c:v>
                      </c:pt>
                      <c:pt idx="6">
                        <c:v>1.5324791758653391E-2</c:v>
                      </c:pt>
                      <c:pt idx="7">
                        <c:v>1.7325920964290753E-2</c:v>
                      </c:pt>
                      <c:pt idx="8">
                        <c:v>1.9694549546812143E-2</c:v>
                      </c:pt>
                      <c:pt idx="9">
                        <c:v>2.2494683977226593E-2</c:v>
                      </c:pt>
                      <c:pt idx="10">
                        <c:v>2.5802263426204397E-2</c:v>
                      </c:pt>
                      <c:pt idx="11">
                        <c:v>2.970873440038533E-2</c:v>
                      </c:pt>
                      <c:pt idx="12">
                        <c:v>3.430626758418244E-2</c:v>
                      </c:pt>
                      <c:pt idx="13">
                        <c:v>3.9671838863998971E-2</c:v>
                      </c:pt>
                      <c:pt idx="14">
                        <c:v>4.586013654636615E-2</c:v>
                      </c:pt>
                      <c:pt idx="15">
                        <c:v>5.2914785039589102E-2</c:v>
                      </c:pt>
                    </c:numCache>
                  </c:numRef>
                </c:yVal>
                <c:smooth val="1"/>
                <c:extLst>
                  <c:ext xmlns:c16="http://schemas.microsoft.com/office/drawing/2014/chart" uri="{C3380CC4-5D6E-409C-BE32-E72D297353CC}">
                    <c16:uniqueId val="{00000003-5842-49F3-ACA9-071EB67AF503}"/>
                  </c:ext>
                </c:extLst>
              </c15:ser>
            </c15:filteredScatterSeries>
            <c15:filteredScatterSeries>
              <c15:ser>
                <c:idx val="4"/>
                <c:order val="4"/>
                <c:tx>
                  <c:strRef>
                    <c:extLst xmlns:c15="http://schemas.microsoft.com/office/drawing/2012/chart">
                      <c:ext xmlns:c15="http://schemas.microsoft.com/office/drawing/2012/chart" uri="{02D57815-91ED-43cb-92C2-25804820EDAC}">
                        <c15:formulaRef>
                          <c15:sqref>'主翼(平面形結果)'!$S$44</c15:sqref>
                        </c15:formulaRef>
                      </c:ext>
                    </c:extLst>
                    <c:strCache>
                      <c:ptCount val="1"/>
                      <c:pt idx="0">
                        <c:v>case5</c:v>
                      </c:pt>
                    </c:strCache>
                  </c:strRef>
                </c:tx>
                <c:spPr>
                  <a:ln w="19050" cap="rnd">
                    <a:solidFill>
                      <a:schemeClr val="accent5"/>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xmlns:c15="http://schemas.microsoft.com/office/drawing/2012/chart">
                      <c:ext xmlns:c15="http://schemas.microsoft.com/office/drawing/2012/chart" uri="{02D57815-91ED-43cb-92C2-25804820EDAC}">
                        <c15:formulaRef>
                          <c15:sqref>'主翼(平面形結果)'!$T$46:$T$61</c15:sqref>
                        </c15:formulaRef>
                      </c:ext>
                    </c:extLst>
                    <c:numCache>
                      <c:formatCode>General</c:formatCode>
                      <c:ptCount val="16"/>
                      <c:pt idx="0">
                        <c:v>1.0726282020564365E-2</c:v>
                      </c:pt>
                      <c:pt idx="1">
                        <c:v>1.0524180654839085E-2</c:v>
                      </c:pt>
                      <c:pt idx="2">
                        <c:v>1.0710490256118583E-2</c:v>
                      </c:pt>
                      <c:pt idx="3">
                        <c:v>1.128969973369467E-2</c:v>
                      </c:pt>
                      <c:pt idx="4">
                        <c:v>1.225093071202623E-2</c:v>
                      </c:pt>
                      <c:pt idx="5">
                        <c:v>1.3576749646939633E-2</c:v>
                      </c:pt>
                      <c:pt idx="6">
                        <c:v>1.5244643889954144E-2</c:v>
                      </c:pt>
                      <c:pt idx="7">
                        <c:v>1.7253018411008798E-2</c:v>
                      </c:pt>
                      <c:pt idx="8">
                        <c:v>1.960391622257468E-2</c:v>
                      </c:pt>
                      <c:pt idx="9">
                        <c:v>2.2355903879742837E-2</c:v>
                      </c:pt>
                      <c:pt idx="10">
                        <c:v>2.5578983917829839E-2</c:v>
                      </c:pt>
                      <c:pt idx="11">
                        <c:v>2.9358707369638488E-2</c:v>
                      </c:pt>
                      <c:pt idx="12">
                        <c:v>3.3781906132927961E-2</c:v>
                      </c:pt>
                      <c:pt idx="13">
                        <c:v>3.8920992091514811E-2</c:v>
                      </c:pt>
                      <c:pt idx="14">
                        <c:v>4.4826125684652079E-2</c:v>
                      </c:pt>
                      <c:pt idx="15">
                        <c:v>5.1534762982444519E-2</c:v>
                      </c:pt>
                    </c:numCache>
                  </c:numRef>
                </c:yVal>
                <c:smooth val="1"/>
                <c:extLst xmlns:c15="http://schemas.microsoft.com/office/drawing/2012/chart">
                  <c:ext xmlns:c16="http://schemas.microsoft.com/office/drawing/2014/chart" uri="{C3380CC4-5D6E-409C-BE32-E72D297353CC}">
                    <c16:uniqueId val="{00000004-5842-49F3-ACA9-071EB67AF503}"/>
                  </c:ext>
                </c:extLst>
              </c15:ser>
            </c15:filteredScatterSeries>
            <c15:filteredScatterSeries>
              <c15:ser>
                <c:idx val="5"/>
                <c:order val="5"/>
                <c:tx>
                  <c:strRef>
                    <c:extLst xmlns:c15="http://schemas.microsoft.com/office/drawing/2012/chart">
                      <c:ext xmlns:c15="http://schemas.microsoft.com/office/drawing/2012/chart" uri="{02D57815-91ED-43cb-92C2-25804820EDAC}">
                        <c15:formulaRef>
                          <c15:sqref>'主翼(平面形結果)'!$W$44</c15:sqref>
                        </c15:formulaRef>
                      </c:ext>
                    </c:extLst>
                    <c:strCache>
                      <c:ptCount val="1"/>
                      <c:pt idx="0">
                        <c:v>case6</c:v>
                      </c:pt>
                    </c:strCache>
                  </c:strRef>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xmlns:c15="http://schemas.microsoft.com/office/drawing/2012/chart">
                      <c:ext xmlns:c15="http://schemas.microsoft.com/office/drawing/2012/chart" uri="{02D57815-91ED-43cb-92C2-25804820EDAC}">
                        <c15:formulaRef>
                          <c15:sqref>'主翼(平面形結果)'!$X$46:$X$61</c15:sqref>
                        </c15:formulaRef>
                      </c:ext>
                    </c:extLst>
                    <c:numCache>
                      <c:formatCode>General</c:formatCode>
                      <c:ptCount val="16"/>
                      <c:pt idx="0">
                        <c:v>1.0408939745146758E-2</c:v>
                      </c:pt>
                      <c:pt idx="1">
                        <c:v>1.0869664502884825E-2</c:v>
                      </c:pt>
                      <c:pt idx="2">
                        <c:v>1.1766643204475213E-2</c:v>
                      </c:pt>
                      <c:pt idx="3">
                        <c:v>1.3061943783747441E-2</c:v>
                      </c:pt>
                      <c:pt idx="4">
                        <c:v>1.4693448372859172E-2</c:v>
                      </c:pt>
                      <c:pt idx="5">
                        <c:v>1.6599305048076961E-2</c:v>
                      </c:pt>
                      <c:pt idx="6">
                        <c:v>1.8729327581463642E-2</c:v>
                      </c:pt>
                      <c:pt idx="7">
                        <c:v>2.1085664035987453E-2</c:v>
                      </c:pt>
                      <c:pt idx="8">
                        <c:v>2.3668178622824811E-2</c:v>
                      </c:pt>
                      <c:pt idx="9">
                        <c:v>2.6554398914930048E-2</c:v>
                      </c:pt>
                      <c:pt idx="10">
                        <c:v>2.9786912674333466E-2</c:v>
                      </c:pt>
                      <c:pt idx="11">
                        <c:v>3.3435499440769685E-2</c:v>
                      </c:pt>
                      <c:pt idx="12">
                        <c:v>3.7662002472283407E-2</c:v>
                      </c:pt>
                      <c:pt idx="13">
                        <c:v>4.2520536503655129E-2</c:v>
                      </c:pt>
                      <c:pt idx="14">
                        <c:v>4.8058299410250332E-2</c:v>
                      </c:pt>
                      <c:pt idx="15">
                        <c:v>5.4280644219940069E-2</c:v>
                      </c:pt>
                    </c:numCache>
                  </c:numRef>
                </c:yVal>
                <c:smooth val="1"/>
                <c:extLst xmlns:c15="http://schemas.microsoft.com/office/drawing/2012/chart">
                  <c:ext xmlns:c16="http://schemas.microsoft.com/office/drawing/2014/chart" uri="{C3380CC4-5D6E-409C-BE32-E72D297353CC}">
                    <c16:uniqueId val="{00000005-5842-49F3-ACA9-071EB67AF503}"/>
                  </c:ext>
                </c:extLst>
              </c15:ser>
            </c15:filteredScatterSeries>
          </c:ext>
        </c:extLst>
      </c:scatterChart>
      <c:valAx>
        <c:axId val="6666394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66642288"/>
        <c:crosses val="autoZero"/>
        <c:crossBetween val="midCat"/>
      </c:valAx>
      <c:valAx>
        <c:axId val="666642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666394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Cm</a:t>
            </a:r>
            <a:r>
              <a:rPr lang="en-US" altLang="ja-JP" baseline="0"/>
              <a:t> vs alpha</a:t>
            </a:r>
            <a:endParaRPr lang="ja-JP"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ltLang="en-US"/>
        </a:p>
      </c:txPr>
    </c:title>
    <c:autoTitleDeleted val="0"/>
    <c:plotArea>
      <c:layout/>
      <c:scatterChart>
        <c:scatterStyle val="smoothMarker"/>
        <c:varyColors val="0"/>
        <c:ser>
          <c:idx val="0"/>
          <c:order val="0"/>
          <c:tx>
            <c:strRef>
              <c:f>'主翼(平面形結果)'!$C$44</c:f>
              <c:strCache>
                <c:ptCount val="1"/>
                <c:pt idx="0">
                  <c:v>case1</c:v>
                </c:pt>
              </c:strCache>
            </c:strRef>
          </c:tx>
          <c:spPr>
            <a:ln w="19050" cap="rnd">
              <a:solidFill>
                <a:schemeClr val="accent1"/>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'主翼(平面形結果)'!$F$46:$F$61</c:f>
              <c:numCache>
                <c:formatCode>General</c:formatCode>
                <c:ptCount val="16"/>
                <c:pt idx="0">
                  <c:v>-7.4330321828705873E-2</c:v>
                </c:pt>
                <c:pt idx="1">
                  <c:v>-5.7757764996159318E-2</c:v>
                </c:pt>
                <c:pt idx="2">
                  <c:v>-4.1814141764980564E-2</c:v>
                </c:pt>
                <c:pt idx="3">
                  <c:v>-2.6909539060445162E-2</c:v>
                </c:pt>
                <c:pt idx="4">
                  <c:v>-1.3381281233625272E-2</c:v>
                </c:pt>
                <c:pt idx="5">
                  <c:v>-1.5141951767246142E-3</c:v>
                </c:pt>
                <c:pt idx="6">
                  <c:v>8.4684663374198516E-3</c:v>
                </c:pt>
                <c:pt idx="7">
                  <c:v>1.6435677736574904E-2</c:v>
                </c:pt>
                <c:pt idx="8">
                  <c:v>2.23350390020093E-2</c:v>
                </c:pt>
                <c:pt idx="9">
                  <c:v>2.6262464681140175E-2</c:v>
                </c:pt>
                <c:pt idx="10">
                  <c:v>2.8369277185372372E-2</c:v>
                </c:pt>
                <c:pt idx="11">
                  <c:v>2.884428685476648E-2</c:v>
                </c:pt>
                <c:pt idx="12">
                  <c:v>2.7845941277385901E-2</c:v>
                </c:pt>
                <c:pt idx="13">
                  <c:v>2.5468278806963909E-2</c:v>
                </c:pt>
                <c:pt idx="14">
                  <c:v>2.175462966140515E-2</c:v>
                </c:pt>
                <c:pt idx="15">
                  <c:v>1.6759568404356412E-2</c:v>
                </c:pt>
              </c:numCache>
            </c:numRef>
          </c:yVal>
          <c:smooth val="1"/>
          <c:extLst>
            <c:ext xmlns:c16="http://schemas.microsoft.com/office/drawing/2014/chart" uri="{C3380CC4-5D6E-409C-BE32-E72D297353CC}">
              <c16:uniqueId val="{00000000-8763-4B7D-9D0E-28CFDEA4F7B6}"/>
            </c:ext>
          </c:extLst>
        </c:ser>
        <c:ser>
          <c:idx val="1"/>
          <c:order val="1"/>
          <c:tx>
            <c:strRef>
              <c:f>'主翼(平面形結果)'!$G$44</c:f>
              <c:strCache>
                <c:ptCount val="1"/>
                <c:pt idx="0">
                  <c:v>case2</c:v>
                </c:pt>
              </c:strCache>
            </c:strRef>
          </c:tx>
          <c:spPr>
            <a:ln w="19050" cap="rnd">
              <a:solidFill>
                <a:schemeClr val="accent2"/>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'主翼(平面形結果)'!$J$46:$J$61</c:f>
              <c:numCache>
                <c:formatCode>General</c:formatCode>
                <c:ptCount val="16"/>
                <c:pt idx="0">
                  <c:v>-7.4244488381370571E-2</c:v>
                </c:pt>
                <c:pt idx="1">
                  <c:v>-5.7144259686747891E-2</c:v>
                </c:pt>
                <c:pt idx="2">
                  <c:v>-4.0780637277623773E-2</c:v>
                </c:pt>
                <c:pt idx="3">
                  <c:v>-2.5689168699845843E-2</c:v>
                </c:pt>
                <c:pt idx="4">
                  <c:v>-1.231837088540518E-2</c:v>
                </c:pt>
                <c:pt idx="5">
                  <c:v>-1.0411261988274377E-3</c:v>
                </c:pt>
                <c:pt idx="6">
                  <c:v>7.8685324309105947E-3</c:v>
                </c:pt>
                <c:pt idx="7">
                  <c:v>1.4268396279930193E-2</c:v>
                </c:pt>
                <c:pt idx="8">
                  <c:v>1.8177099674496534E-2</c:v>
                </c:pt>
                <c:pt idx="9">
                  <c:v>1.9746733323361489E-2</c:v>
                </c:pt>
                <c:pt idx="10">
                  <c:v>1.923727615783858E-2</c:v>
                </c:pt>
                <c:pt idx="11">
                  <c:v>1.6936100012775523E-2</c:v>
                </c:pt>
                <c:pt idx="12">
                  <c:v>1.3084819048684262E-2</c:v>
                </c:pt>
                <c:pt idx="13">
                  <c:v>7.8370222155974556E-3</c:v>
                </c:pt>
                <c:pt idx="14">
                  <c:v>1.2694374043107676E-3</c:v>
                </c:pt>
                <c:pt idx="15">
                  <c:v>-6.5527042199449419E-3</c:v>
                </c:pt>
              </c:numCache>
            </c:numRef>
          </c:yVal>
          <c:smooth val="1"/>
          <c:extLst>
            <c:ext xmlns:c16="http://schemas.microsoft.com/office/drawing/2014/chart" uri="{C3380CC4-5D6E-409C-BE32-E72D297353CC}">
              <c16:uniqueId val="{00000001-8763-4B7D-9D0E-28CFDEA4F7B6}"/>
            </c:ext>
          </c:extLst>
        </c:ser>
        <c:ser>
          <c:idx val="2"/>
          <c:order val="2"/>
          <c:tx>
            <c:strRef>
              <c:f>'主翼(平面形結果)'!$K$44</c:f>
              <c:strCache>
                <c:ptCount val="1"/>
                <c:pt idx="0">
                  <c:v>case3</c:v>
                </c:pt>
              </c:strCache>
            </c:strRef>
          </c:tx>
          <c:spPr>
            <a:ln w="19050" cap="rnd">
              <a:solidFill>
                <a:schemeClr val="accent3"/>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'主翼(平面形結果)'!$N$46:$N$61</c:f>
              <c:numCache>
                <c:formatCode>General</c:formatCode>
                <c:ptCount val="16"/>
                <c:pt idx="0">
                  <c:v>-7.4256115036350337E-2</c:v>
                </c:pt>
                <c:pt idx="1">
                  <c:v>-5.6529905552235193E-2</c:v>
                </c:pt>
                <c:pt idx="2">
                  <c:v>-3.9656402762670635E-2</c:v>
                </c:pt>
                <c:pt idx="3">
                  <c:v>-2.4324232725920537E-2</c:v>
                </c:pt>
                <c:pt idx="4">
                  <c:v>-1.1110047121800982E-2</c:v>
                </c:pt>
                <c:pt idx="5">
                  <c:v>-4.7757237287682317E-4</c:v>
                </c:pt>
                <c:pt idx="6">
                  <c:v>7.2605235029420184E-3</c:v>
                </c:pt>
                <c:pt idx="7">
                  <c:v>1.1981856271654172E-2</c:v>
                </c:pt>
                <c:pt idx="8">
                  <c:v>1.3771980511685844E-2</c:v>
                </c:pt>
                <c:pt idx="9">
                  <c:v>1.2880217735615412E-2</c:v>
                </c:pt>
                <c:pt idx="10">
                  <c:v>9.6689046206848844E-3</c:v>
                </c:pt>
                <c:pt idx="11">
                  <c:v>4.5173386548114734E-3</c:v>
                </c:pt>
                <c:pt idx="12">
                  <c:v>-2.2595817549896117E-3</c:v>
                </c:pt>
                <c:pt idx="13">
                  <c:v>-1.2424518050586383E-2</c:v>
                </c:pt>
                <c:pt idx="14">
                  <c:v>-2.2492708621157247E-2</c:v>
                </c:pt>
                <c:pt idx="15">
                  <c:v>-3.0731107379687827E-2</c:v>
                </c:pt>
              </c:numCache>
            </c:numRef>
          </c:yVal>
          <c:smooth val="1"/>
          <c:extLst>
            <c:ext xmlns:c16="http://schemas.microsoft.com/office/drawing/2014/chart" uri="{C3380CC4-5D6E-409C-BE32-E72D297353CC}">
              <c16:uniqueId val="{00000002-8763-4B7D-9D0E-28CFDEA4F7B6}"/>
            </c:ext>
          </c:extLst>
        </c:ser>
        <c:dLbls>
          <c:showLegendKey val="0"/>
          <c:showVal val="0"/>
          <c:showCatName val="0"/>
          <c:showSerName val="0"/>
          <c:showPercent val="0"/>
          <c:showBubbleSize val="0"/>
        </c:dLbls>
        <c:axId val="666639408"/>
        <c:axId val="666642288"/>
        <c:extLst>
          <c:ext xmlns:c15="http://schemas.microsoft.com/office/drawing/2012/chart" uri="{02D57815-91ED-43cb-92C2-25804820EDAC}">
            <c15:filteredScatterSeries>
              <c15:ser>
                <c:idx val="3"/>
                <c:order val="3"/>
                <c:tx>
                  <c:strRef>
                    <c:extLst>
                      <c:ext uri="{02D57815-91ED-43cb-92C2-25804820EDAC}">
                        <c15:formulaRef>
                          <c15:sqref>'主翼(平面形結果)'!$O$44</c15:sqref>
                        </c15:formulaRef>
                      </c:ext>
                    </c:extLst>
                    <c:strCache>
                      <c:ptCount val="1"/>
                      <c:pt idx="0">
                        <c:v>case4</c:v>
                      </c:pt>
                    </c:strCache>
                  </c:strRef>
                </c:tx>
                <c:spPr>
                  <a:ln w="19050" cap="rnd">
                    <a:solidFill>
                      <a:schemeClr val="accent4"/>
                    </a:solidFill>
                    <a:round/>
                  </a:ln>
                  <a:effectLst/>
                </c:spPr>
                <c:marker>
                  <c:symbol val="none"/>
                </c:marker>
                <c:xVal>
                  <c:numRef>
                    <c:extLst>
                      <c:ex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c:ext uri="{02D57815-91ED-43cb-92C2-25804820EDAC}">
                        <c15:formulaRef>
                          <c15:sqref>'主翼(平面形結果)'!$R$46:$R$61</c15:sqref>
                        </c15:formulaRef>
                      </c:ext>
                    </c:extLst>
                    <c:numCache>
                      <c:formatCode>General</c:formatCode>
                      <c:ptCount val="16"/>
                      <c:pt idx="0">
                        <c:v>-7.4880787324899542E-2</c:v>
                      </c:pt>
                      <c:pt idx="1">
                        <c:v>-5.8297242894123608E-2</c:v>
                      </c:pt>
                      <c:pt idx="2">
                        <c:v>-4.2338687941276591E-2</c:v>
                      </c:pt>
                      <c:pt idx="3">
                        <c:v>-2.7421678723769615E-2</c:v>
                      </c:pt>
                      <c:pt idx="4">
                        <c:v>-1.3888622044309722E-2</c:v>
                      </c:pt>
                      <c:pt idx="5">
                        <c:v>-2.0270021250042907E-3</c:v>
                      </c:pt>
                      <c:pt idx="6">
                        <c:v>7.9387170741944141E-3</c:v>
                      </c:pt>
                      <c:pt idx="7">
                        <c:v>1.5869984770713431E-2</c:v>
                      </c:pt>
                      <c:pt idx="8">
                        <c:v>2.1743821566932126E-2</c:v>
                      </c:pt>
                      <c:pt idx="9">
                        <c:v>2.5634074080207656E-2</c:v>
                      </c:pt>
                      <c:pt idx="10">
                        <c:v>2.7706786224306848E-2</c:v>
                      </c:pt>
                      <c:pt idx="11">
                        <c:v>2.8157238189395587E-2</c:v>
                      </c:pt>
                      <c:pt idx="12">
                        <c:v>2.7149361526336749E-2</c:v>
                      </c:pt>
                      <c:pt idx="13">
                        <c:v>2.4779684966580409E-2</c:v>
                      </c:pt>
                      <c:pt idx="14">
                        <c:v>2.1089886435842694E-2</c:v>
                      </c:pt>
                      <c:pt idx="15">
                        <c:v>1.6129650746060514E-2</c:v>
                      </c:pt>
                    </c:numCache>
                  </c:numRef>
                </c:yVal>
                <c:smooth val="1"/>
                <c:extLst>
                  <c:ext xmlns:c16="http://schemas.microsoft.com/office/drawing/2014/chart" uri="{C3380CC4-5D6E-409C-BE32-E72D297353CC}">
                    <c16:uniqueId val="{00000003-8763-4B7D-9D0E-28CFDEA4F7B6}"/>
                  </c:ext>
                </c:extLst>
              </c15:ser>
            </c15:filteredScatterSeries>
            <c15:filteredScatterSeries>
              <c15:ser>
                <c:idx val="4"/>
                <c:order val="4"/>
                <c:tx>
                  <c:strRef>
                    <c:extLst xmlns:c15="http://schemas.microsoft.com/office/drawing/2012/chart">
                      <c:ext xmlns:c15="http://schemas.microsoft.com/office/drawing/2012/chart" uri="{02D57815-91ED-43cb-92C2-25804820EDAC}">
                        <c15:formulaRef>
                          <c15:sqref>'主翼(平面形結果)'!$S$44</c15:sqref>
                        </c15:formulaRef>
                      </c:ext>
                    </c:extLst>
                    <c:strCache>
                      <c:ptCount val="1"/>
                      <c:pt idx="0">
                        <c:v>case5</c:v>
                      </c:pt>
                    </c:strCache>
                  </c:strRef>
                </c:tx>
                <c:spPr>
                  <a:ln w="19050" cap="rnd">
                    <a:solidFill>
                      <a:schemeClr val="accent5"/>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xmlns:c15="http://schemas.microsoft.com/office/drawing/2012/chart">
                      <c:ext xmlns:c15="http://schemas.microsoft.com/office/drawing/2012/chart" uri="{02D57815-91ED-43cb-92C2-25804820EDAC}">
                        <c15:formulaRef>
                          <c15:sqref>'主翼(平面形結果)'!$V$46:$V$61</c15:sqref>
                        </c15:formulaRef>
                      </c:ext>
                    </c:extLst>
                    <c:numCache>
                      <c:formatCode>General</c:formatCode>
                      <c:ptCount val="16"/>
                      <c:pt idx="0">
                        <c:v>-7.4244488381370571E-2</c:v>
                      </c:pt>
                      <c:pt idx="1">
                        <c:v>-5.7144259686747891E-2</c:v>
                      </c:pt>
                      <c:pt idx="2">
                        <c:v>-4.0780637277623773E-2</c:v>
                      </c:pt>
                      <c:pt idx="3">
                        <c:v>-2.5689168699845843E-2</c:v>
                      </c:pt>
                      <c:pt idx="4">
                        <c:v>-1.231837088540518E-2</c:v>
                      </c:pt>
                      <c:pt idx="5">
                        <c:v>-1.0411261988274377E-3</c:v>
                      </c:pt>
                      <c:pt idx="6">
                        <c:v>7.8685324309105947E-3</c:v>
                      </c:pt>
                      <c:pt idx="7">
                        <c:v>1.4268396279930193E-2</c:v>
                      </c:pt>
                      <c:pt idx="8">
                        <c:v>1.8177099674496534E-2</c:v>
                      </c:pt>
                      <c:pt idx="9">
                        <c:v>1.9746733323361489E-2</c:v>
                      </c:pt>
                      <c:pt idx="10">
                        <c:v>1.923727615783858E-2</c:v>
                      </c:pt>
                      <c:pt idx="11">
                        <c:v>1.6936100012775523E-2</c:v>
                      </c:pt>
                      <c:pt idx="12">
                        <c:v>1.3084819048684262E-2</c:v>
                      </c:pt>
                      <c:pt idx="13">
                        <c:v>7.8370222155974556E-3</c:v>
                      </c:pt>
                      <c:pt idx="14">
                        <c:v>1.2694374043107676E-3</c:v>
                      </c:pt>
                      <c:pt idx="15">
                        <c:v>-6.5527042199449419E-3</c:v>
                      </c:pt>
                    </c:numCache>
                  </c:numRef>
                </c:yVal>
                <c:smooth val="1"/>
                <c:extLst xmlns:c15="http://schemas.microsoft.com/office/drawing/2012/chart">
                  <c:ext xmlns:c16="http://schemas.microsoft.com/office/drawing/2014/chart" uri="{C3380CC4-5D6E-409C-BE32-E72D297353CC}">
                    <c16:uniqueId val="{00000004-8763-4B7D-9D0E-28CFDEA4F7B6}"/>
                  </c:ext>
                </c:extLst>
              </c15:ser>
            </c15:filteredScatterSeries>
            <c15:filteredScatterSeries>
              <c15:ser>
                <c:idx val="5"/>
                <c:order val="5"/>
                <c:tx>
                  <c:strRef>
                    <c:extLst xmlns:c15="http://schemas.microsoft.com/office/drawing/2012/chart">
                      <c:ext xmlns:c15="http://schemas.microsoft.com/office/drawing/2012/chart" uri="{02D57815-91ED-43cb-92C2-25804820EDAC}">
                        <c15:formulaRef>
                          <c15:sqref>'主翼(平面形結果)'!$W$44</c15:sqref>
                        </c15:formulaRef>
                      </c:ext>
                    </c:extLst>
                    <c:strCache>
                      <c:ptCount val="1"/>
                      <c:pt idx="0">
                        <c:v>case6</c:v>
                      </c:pt>
                    </c:strCache>
                  </c:strRef>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xmlns:c15="http://schemas.microsoft.com/office/drawing/2012/chart">
                      <c:ext xmlns:c15="http://schemas.microsoft.com/office/drawing/2012/chart" uri="{02D57815-91ED-43cb-92C2-25804820EDAC}">
                        <c15:formulaRef>
                          <c15:sqref>'主翼(平面形結果)'!$Z$46:$Z$61</c15:sqref>
                        </c15:formulaRef>
                      </c:ext>
                    </c:extLst>
                    <c:numCache>
                      <c:formatCode>General</c:formatCode>
                      <c:ptCount val="16"/>
                      <c:pt idx="0">
                        <c:v>-6.5728336976698776E-2</c:v>
                      </c:pt>
                      <c:pt idx="1">
                        <c:v>-4.7947684154790726E-2</c:v>
                      </c:pt>
                      <c:pt idx="2">
                        <c:v>-3.1691745716993035E-2</c:v>
                      </c:pt>
                      <c:pt idx="3">
                        <c:v>-1.7897203962205975E-2</c:v>
                      </c:pt>
                      <c:pt idx="4">
                        <c:v>-7.3501588721350489E-3</c:v>
                      </c:pt>
                      <c:pt idx="5">
                        <c:v>-5.8280773099952227E-4</c:v>
                      </c:pt>
                      <c:pt idx="6">
                        <c:v>2.2485190221972775E-3</c:v>
                      </c:pt>
                      <c:pt idx="7">
                        <c:v>1.3619811564685152E-3</c:v>
                      </c:pt>
                      <c:pt idx="8">
                        <c:v>-2.6947626897467812E-3</c:v>
                      </c:pt>
                      <c:pt idx="9">
                        <c:v>-9.2278376221393062E-3</c:v>
                      </c:pt>
                      <c:pt idx="10">
                        <c:v>-1.7492027818537335E-2</c:v>
                      </c:pt>
                      <c:pt idx="11">
                        <c:v>-2.6847060773893247E-2</c:v>
                      </c:pt>
                      <c:pt idx="12">
                        <c:v>-3.6851337398433034E-2</c:v>
                      </c:pt>
                      <c:pt idx="13">
                        <c:v>-4.7303401415913646E-2</c:v>
                      </c:pt>
                      <c:pt idx="14">
                        <c:v>-5.8274293919103354E-2</c:v>
                      </c:pt>
                      <c:pt idx="15">
                        <c:v>-7.00353349761412E-2</c:v>
                      </c:pt>
                    </c:numCache>
                  </c:numRef>
                </c:yVal>
                <c:smooth val="1"/>
                <c:extLst xmlns:c15="http://schemas.microsoft.com/office/drawing/2012/chart">
                  <c:ext xmlns:c16="http://schemas.microsoft.com/office/drawing/2014/chart" uri="{C3380CC4-5D6E-409C-BE32-E72D297353CC}">
                    <c16:uniqueId val="{00000005-8763-4B7D-9D0E-28CFDEA4F7B6}"/>
                  </c:ext>
                </c:extLst>
              </c15:ser>
            </c15:filteredScatterSeries>
          </c:ext>
        </c:extLst>
      </c:scatterChart>
      <c:valAx>
        <c:axId val="6666394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66642288"/>
        <c:crosses val="autoZero"/>
        <c:crossBetween val="midCat"/>
      </c:valAx>
      <c:valAx>
        <c:axId val="666642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666394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baseline="0"/>
              <a:t>Cm vs Cl</a:t>
            </a:r>
            <a:endParaRPr lang="ja-JP"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ltLang="en-US"/>
        </a:p>
      </c:txPr>
    </c:title>
    <c:autoTitleDeleted val="0"/>
    <c:plotArea>
      <c:layout/>
      <c:scatterChart>
        <c:scatterStyle val="smoothMarker"/>
        <c:varyColors val="0"/>
        <c:ser>
          <c:idx val="0"/>
          <c:order val="0"/>
          <c:tx>
            <c:strRef>
              <c:f>'主翼(平面形結果)'!$C$44</c:f>
              <c:strCache>
                <c:ptCount val="1"/>
                <c:pt idx="0">
                  <c:v>case1</c:v>
                </c:pt>
              </c:strCache>
            </c:strRef>
          </c:tx>
          <c:spPr>
            <a:ln w="19050" cap="rnd">
              <a:solidFill>
                <a:schemeClr val="accent1"/>
              </a:solidFill>
              <a:round/>
            </a:ln>
            <a:effectLst/>
          </c:spPr>
          <c:marker>
            <c:symbol val="none"/>
          </c:marker>
          <c:xVal>
            <c:numRef>
              <c:f>'主翼(平面形結果)'!$C$46:$C$61</c:f>
              <c:numCache>
                <c:formatCode>General</c:formatCode>
                <c:ptCount val="16"/>
                <c:pt idx="0">
                  <c:v>0.38749858875227633</c:v>
                </c:pt>
                <c:pt idx="1">
                  <c:v>0.50015155644609532</c:v>
                </c:pt>
                <c:pt idx="2">
                  <c:v>0.61280417727596259</c:v>
                </c:pt>
                <c:pt idx="3">
                  <c:v>0.72554723905161755</c:v>
                </c:pt>
                <c:pt idx="4">
                  <c:v>0.83771866474464052</c:v>
                </c:pt>
                <c:pt idx="5">
                  <c:v>0.94779148015320713</c:v>
                </c:pt>
                <c:pt idx="6">
                  <c:v>1.0535113918494736</c:v>
                </c:pt>
                <c:pt idx="7">
                  <c:v>1.1523111359863882</c:v>
                </c:pt>
                <c:pt idx="8">
                  <c:v>1.2413761999594557</c:v>
                </c:pt>
                <c:pt idx="9">
                  <c:v>1.3187735578969335</c:v>
                </c:pt>
                <c:pt idx="10">
                  <c:v>1.3831789286152301</c:v>
                </c:pt>
                <c:pt idx="11">
                  <c:v>1.4345740543791807</c:v>
                </c:pt>
                <c:pt idx="12">
                  <c:v>1.4742650728593332</c:v>
                </c:pt>
                <c:pt idx="13">
                  <c:v>1.5046866842258835</c:v>
                </c:pt>
                <c:pt idx="14">
                  <c:v>1.5288179339637027</c:v>
                </c:pt>
                <c:pt idx="15">
                  <c:v>1.5492569699167882</c:v>
                </c:pt>
              </c:numCache>
            </c:numRef>
          </c:xVal>
          <c:yVal>
            <c:numRef>
              <c:f>'主翼(平面形結果)'!$F$46:$F$61</c:f>
              <c:numCache>
                <c:formatCode>General</c:formatCode>
                <c:ptCount val="16"/>
                <c:pt idx="0">
                  <c:v>-7.4330321828705873E-2</c:v>
                </c:pt>
                <c:pt idx="1">
                  <c:v>-5.7757764996159318E-2</c:v>
                </c:pt>
                <c:pt idx="2">
                  <c:v>-4.1814141764980564E-2</c:v>
                </c:pt>
                <c:pt idx="3">
                  <c:v>-2.6909539060445162E-2</c:v>
                </c:pt>
                <c:pt idx="4">
                  <c:v>-1.3381281233625272E-2</c:v>
                </c:pt>
                <c:pt idx="5">
                  <c:v>-1.5141951767246142E-3</c:v>
                </c:pt>
                <c:pt idx="6">
                  <c:v>8.4684663374198516E-3</c:v>
                </c:pt>
                <c:pt idx="7">
                  <c:v>1.6435677736574904E-2</c:v>
                </c:pt>
                <c:pt idx="8">
                  <c:v>2.23350390020093E-2</c:v>
                </c:pt>
                <c:pt idx="9">
                  <c:v>2.6262464681140175E-2</c:v>
                </c:pt>
                <c:pt idx="10">
                  <c:v>2.8369277185372372E-2</c:v>
                </c:pt>
                <c:pt idx="11">
                  <c:v>2.884428685476648E-2</c:v>
                </c:pt>
                <c:pt idx="12">
                  <c:v>2.7845941277385901E-2</c:v>
                </c:pt>
                <c:pt idx="13">
                  <c:v>2.5468278806963909E-2</c:v>
                </c:pt>
                <c:pt idx="14">
                  <c:v>2.175462966140515E-2</c:v>
                </c:pt>
                <c:pt idx="15">
                  <c:v>1.6759568404356412E-2</c:v>
                </c:pt>
              </c:numCache>
            </c:numRef>
          </c:yVal>
          <c:smooth val="1"/>
          <c:extLst>
            <c:ext xmlns:c16="http://schemas.microsoft.com/office/drawing/2014/chart" uri="{C3380CC4-5D6E-409C-BE32-E72D297353CC}">
              <c16:uniqueId val="{00000000-8F5F-4EF5-ABCF-65025E875B32}"/>
            </c:ext>
          </c:extLst>
        </c:ser>
        <c:ser>
          <c:idx val="1"/>
          <c:order val="1"/>
          <c:tx>
            <c:strRef>
              <c:f>'主翼(平面形結果)'!$G$44</c:f>
              <c:strCache>
                <c:ptCount val="1"/>
                <c:pt idx="0">
                  <c:v>case2</c:v>
                </c:pt>
              </c:strCache>
            </c:strRef>
          </c:tx>
          <c:spPr>
            <a:ln w="19050" cap="rnd">
              <a:solidFill>
                <a:schemeClr val="accent2"/>
              </a:solidFill>
              <a:round/>
            </a:ln>
            <a:effectLst/>
          </c:spPr>
          <c:marker>
            <c:symbol val="none"/>
          </c:marker>
          <c:xVal>
            <c:numRef>
              <c:f>'主翼(平面形結果)'!$G$46:$G$61</c:f>
              <c:numCache>
                <c:formatCode>General</c:formatCode>
                <c:ptCount val="16"/>
                <c:pt idx="0">
                  <c:v>0.38284538201161311</c:v>
                </c:pt>
                <c:pt idx="1">
                  <c:v>0.49671218919103033</c:v>
                </c:pt>
                <c:pt idx="2">
                  <c:v>0.61036197360281796</c:v>
                </c:pt>
                <c:pt idx="3">
                  <c:v>0.72379704615925311</c:v>
                </c:pt>
                <c:pt idx="4">
                  <c:v>0.8362658789038222</c:v>
                </c:pt>
                <c:pt idx="5">
                  <c:v>0.9461708444317446</c:v>
                </c:pt>
                <c:pt idx="6">
                  <c:v>1.0512446555832653</c:v>
                </c:pt>
                <c:pt idx="7">
                  <c:v>1.1489013372692345</c:v>
                </c:pt>
                <c:pt idx="8">
                  <c:v>1.2367657027996857</c:v>
                </c:pt>
                <c:pt idx="9">
                  <c:v>1.3128270408198552</c:v>
                </c:pt>
                <c:pt idx="10">
                  <c:v>1.3760387777163889</c:v>
                </c:pt>
                <c:pt idx="11">
                  <c:v>1.4264909892146416</c:v>
                </c:pt>
                <c:pt idx="12">
                  <c:v>1.4654960851524816</c:v>
                </c:pt>
                <c:pt idx="13">
                  <c:v>1.4954139738277121</c:v>
                </c:pt>
                <c:pt idx="14">
                  <c:v>1.5191324011381448</c:v>
                </c:pt>
                <c:pt idx="15">
                  <c:v>1.5392281314903207</c:v>
                </c:pt>
              </c:numCache>
            </c:numRef>
          </c:xVal>
          <c:yVal>
            <c:numRef>
              <c:f>'主翼(平面形結果)'!$J$46:$J$61</c:f>
              <c:numCache>
                <c:formatCode>General</c:formatCode>
                <c:ptCount val="16"/>
                <c:pt idx="0">
                  <c:v>-7.4244488381370571E-2</c:v>
                </c:pt>
                <c:pt idx="1">
                  <c:v>-5.7144259686747891E-2</c:v>
                </c:pt>
                <c:pt idx="2">
                  <c:v>-4.0780637277623773E-2</c:v>
                </c:pt>
                <c:pt idx="3">
                  <c:v>-2.5689168699845843E-2</c:v>
                </c:pt>
                <c:pt idx="4">
                  <c:v>-1.231837088540518E-2</c:v>
                </c:pt>
                <c:pt idx="5">
                  <c:v>-1.0411261988274377E-3</c:v>
                </c:pt>
                <c:pt idx="6">
                  <c:v>7.8685324309105947E-3</c:v>
                </c:pt>
                <c:pt idx="7">
                  <c:v>1.4268396279930193E-2</c:v>
                </c:pt>
                <c:pt idx="8">
                  <c:v>1.8177099674496534E-2</c:v>
                </c:pt>
                <c:pt idx="9">
                  <c:v>1.9746733323361489E-2</c:v>
                </c:pt>
                <c:pt idx="10">
                  <c:v>1.923727615783858E-2</c:v>
                </c:pt>
                <c:pt idx="11">
                  <c:v>1.6936100012775523E-2</c:v>
                </c:pt>
                <c:pt idx="12">
                  <c:v>1.3084819048684262E-2</c:v>
                </c:pt>
                <c:pt idx="13">
                  <c:v>7.8370222155974556E-3</c:v>
                </c:pt>
                <c:pt idx="14">
                  <c:v>1.2694374043107676E-3</c:v>
                </c:pt>
                <c:pt idx="15">
                  <c:v>-6.5527042199449419E-3</c:v>
                </c:pt>
              </c:numCache>
            </c:numRef>
          </c:yVal>
          <c:smooth val="1"/>
          <c:extLst>
            <c:ext xmlns:c16="http://schemas.microsoft.com/office/drawing/2014/chart" uri="{C3380CC4-5D6E-409C-BE32-E72D297353CC}">
              <c16:uniqueId val="{00000001-8F5F-4EF5-ABCF-65025E875B32}"/>
            </c:ext>
          </c:extLst>
        </c:ser>
        <c:ser>
          <c:idx val="2"/>
          <c:order val="2"/>
          <c:tx>
            <c:strRef>
              <c:f>'主翼(平面形結果)'!$K$44</c:f>
              <c:strCache>
                <c:ptCount val="1"/>
                <c:pt idx="0">
                  <c:v>case3</c:v>
                </c:pt>
              </c:strCache>
            </c:strRef>
          </c:tx>
          <c:spPr>
            <a:ln w="19050" cap="rnd">
              <a:solidFill>
                <a:schemeClr val="accent3"/>
              </a:solidFill>
              <a:round/>
            </a:ln>
            <a:effectLst/>
          </c:spPr>
          <c:marker>
            <c:symbol val="none"/>
          </c:marker>
          <c:xVal>
            <c:numRef>
              <c:f>'主翼(平面形結果)'!$K$46:$K$61</c:f>
              <c:numCache>
                <c:formatCode>General</c:formatCode>
                <c:ptCount val="16"/>
                <c:pt idx="0">
                  <c:v>0.37767057219449601</c:v>
                </c:pt>
                <c:pt idx="1">
                  <c:v>0.49299082798178917</c:v>
                </c:pt>
                <c:pt idx="2">
                  <c:v>0.60781944824873102</c:v>
                </c:pt>
                <c:pt idx="3">
                  <c:v>0.72202727832788527</c:v>
                </c:pt>
                <c:pt idx="4">
                  <c:v>0.83474124972964103</c:v>
                </c:pt>
                <c:pt idx="5">
                  <c:v>0.94428237807405047</c:v>
                </c:pt>
                <c:pt idx="6">
                  <c:v>1.0483912310690338</c:v>
                </c:pt>
                <c:pt idx="7">
                  <c:v>1.1446065234411233</c:v>
                </c:pt>
                <c:pt idx="8">
                  <c:v>1.230774828821442</c:v>
                </c:pt>
                <c:pt idx="9">
                  <c:v>1.3051430651733642</c:v>
                </c:pt>
                <c:pt idx="10">
                  <c:v>1.3668825388561927</c:v>
                </c:pt>
                <c:pt idx="11">
                  <c:v>1.4161999445875124</c:v>
                </c:pt>
                <c:pt idx="12">
                  <c:v>1.4544008730558784</c:v>
                </c:pt>
                <c:pt idx="13">
                  <c:v>1.490523971290111</c:v>
                </c:pt>
                <c:pt idx="14">
                  <c:v>1.5126754760844208</c:v>
                </c:pt>
                <c:pt idx="15">
                  <c:v>1.5266711699512283</c:v>
                </c:pt>
              </c:numCache>
            </c:numRef>
          </c:xVal>
          <c:yVal>
            <c:numRef>
              <c:f>'主翼(平面形結果)'!$N$46:$N$61</c:f>
              <c:numCache>
                <c:formatCode>General</c:formatCode>
                <c:ptCount val="16"/>
                <c:pt idx="0">
                  <c:v>-7.4256115036350337E-2</c:v>
                </c:pt>
                <c:pt idx="1">
                  <c:v>-5.6529905552235193E-2</c:v>
                </c:pt>
                <c:pt idx="2">
                  <c:v>-3.9656402762670635E-2</c:v>
                </c:pt>
                <c:pt idx="3">
                  <c:v>-2.4324232725920537E-2</c:v>
                </c:pt>
                <c:pt idx="4">
                  <c:v>-1.1110047121800982E-2</c:v>
                </c:pt>
                <c:pt idx="5">
                  <c:v>-4.7757237287682317E-4</c:v>
                </c:pt>
                <c:pt idx="6">
                  <c:v>7.2605235029420184E-3</c:v>
                </c:pt>
                <c:pt idx="7">
                  <c:v>1.1981856271654172E-2</c:v>
                </c:pt>
                <c:pt idx="8">
                  <c:v>1.3771980511685844E-2</c:v>
                </c:pt>
                <c:pt idx="9">
                  <c:v>1.2880217735615412E-2</c:v>
                </c:pt>
                <c:pt idx="10">
                  <c:v>9.6689046206848844E-3</c:v>
                </c:pt>
                <c:pt idx="11">
                  <c:v>4.5173386548114734E-3</c:v>
                </c:pt>
                <c:pt idx="12">
                  <c:v>-2.2595817549896117E-3</c:v>
                </c:pt>
                <c:pt idx="13">
                  <c:v>-1.2424518050586383E-2</c:v>
                </c:pt>
                <c:pt idx="14">
                  <c:v>-2.2492708621157247E-2</c:v>
                </c:pt>
                <c:pt idx="15">
                  <c:v>-3.0731107379687827E-2</c:v>
                </c:pt>
              </c:numCache>
            </c:numRef>
          </c:yVal>
          <c:smooth val="1"/>
          <c:extLst>
            <c:ext xmlns:c16="http://schemas.microsoft.com/office/drawing/2014/chart" uri="{C3380CC4-5D6E-409C-BE32-E72D297353CC}">
              <c16:uniqueId val="{00000002-8F5F-4EF5-ABCF-65025E875B32}"/>
            </c:ext>
          </c:extLst>
        </c:ser>
        <c:dLbls>
          <c:showLegendKey val="0"/>
          <c:showVal val="0"/>
          <c:showCatName val="0"/>
          <c:showSerName val="0"/>
          <c:showPercent val="0"/>
          <c:showBubbleSize val="0"/>
        </c:dLbls>
        <c:axId val="1054141344"/>
        <c:axId val="1054139424"/>
        <c:extLst>
          <c:ext xmlns:c15="http://schemas.microsoft.com/office/drawing/2012/chart" uri="{02D57815-91ED-43cb-92C2-25804820EDAC}">
            <c15:filteredScatterSeries>
              <c15:ser>
                <c:idx val="3"/>
                <c:order val="3"/>
                <c:tx>
                  <c:strRef>
                    <c:extLst>
                      <c:ext uri="{02D57815-91ED-43cb-92C2-25804820EDAC}">
                        <c15:formulaRef>
                          <c15:sqref>'主翼(平面形結果)'!$O$44</c15:sqref>
                        </c15:formulaRef>
                      </c:ext>
                    </c:extLst>
                    <c:strCache>
                      <c:ptCount val="1"/>
                      <c:pt idx="0">
                        <c:v>case4</c:v>
                      </c:pt>
                    </c:strCache>
                  </c:strRef>
                </c:tx>
                <c:spPr>
                  <a:ln w="19050" cap="rnd">
                    <a:solidFill>
                      <a:schemeClr val="accent4"/>
                    </a:solidFill>
                    <a:round/>
                  </a:ln>
                  <a:effectLst/>
                </c:spPr>
                <c:marker>
                  <c:symbol val="none"/>
                </c:marker>
                <c:xVal>
                  <c:numRef>
                    <c:extLst>
                      <c:ext uri="{02D57815-91ED-43cb-92C2-25804820EDAC}">
                        <c15:formulaRef>
                          <c15:sqref>'主翼(平面形結果)'!$O$46:$O$61</c15:sqref>
                        </c15:formulaRef>
                      </c:ext>
                    </c:extLst>
                    <c:numCache>
                      <c:formatCode>General</c:formatCode>
                      <c:ptCount val="16"/>
                      <c:pt idx="0">
                        <c:v>0.38335835786351269</c:v>
                      </c:pt>
                      <c:pt idx="1">
                        <c:v>0.49602740500261144</c:v>
                      </c:pt>
                      <c:pt idx="2">
                        <c:v>0.60867012238430529</c:v>
                      </c:pt>
                      <c:pt idx="3">
                        <c:v>0.72140103306750092</c:v>
                      </c:pt>
                      <c:pt idx="4">
                        <c:v>0.8335928544346356</c:v>
                      </c:pt>
                      <c:pt idx="5">
                        <c:v>0.94375259330665162</c:v>
                      </c:pt>
                      <c:pt idx="6">
                        <c:v>1.0496538280105694</c:v>
                      </c:pt>
                      <c:pt idx="7">
                        <c:v>1.1486516036171419</c:v>
                      </c:pt>
                      <c:pt idx="8">
                        <c:v>1.2382094037991094</c:v>
                      </c:pt>
                      <c:pt idx="9">
                        <c:v>1.3160921177256333</c:v>
                      </c:pt>
                      <c:pt idx="10">
                        <c:v>1.3810268209188563</c:v>
                      </c:pt>
                      <c:pt idx="11">
                        <c:v>1.4329372846896291</c:v>
                      </c:pt>
                      <c:pt idx="12">
                        <c:v>1.4730657025952925</c:v>
                      </c:pt>
                      <c:pt idx="13">
                        <c:v>1.503794898908553</c:v>
                      </c:pt>
                      <c:pt idx="14">
                        <c:v>1.5280870660533001</c:v>
                      </c:pt>
                      <c:pt idx="15">
                        <c:v>1.5485770413802966</c:v>
                      </c:pt>
                    </c:numCache>
                  </c:numRef>
                </c:xVal>
                <c:yVal>
                  <c:numRef>
                    <c:extLst>
                      <c:ext uri="{02D57815-91ED-43cb-92C2-25804820EDAC}">
                        <c15:formulaRef>
                          <c15:sqref>'主翼(平面形結果)'!$R$46:$R$61</c15:sqref>
                        </c15:formulaRef>
                      </c:ext>
                    </c:extLst>
                    <c:numCache>
                      <c:formatCode>General</c:formatCode>
                      <c:ptCount val="16"/>
                      <c:pt idx="0">
                        <c:v>-7.4880787324899542E-2</c:v>
                      </c:pt>
                      <c:pt idx="1">
                        <c:v>-5.8297242894123608E-2</c:v>
                      </c:pt>
                      <c:pt idx="2">
                        <c:v>-4.2338687941276591E-2</c:v>
                      </c:pt>
                      <c:pt idx="3">
                        <c:v>-2.7421678723769615E-2</c:v>
                      </c:pt>
                      <c:pt idx="4">
                        <c:v>-1.3888622044309722E-2</c:v>
                      </c:pt>
                      <c:pt idx="5">
                        <c:v>-2.0270021250042907E-3</c:v>
                      </c:pt>
                      <c:pt idx="6">
                        <c:v>7.9387170741944141E-3</c:v>
                      </c:pt>
                      <c:pt idx="7">
                        <c:v>1.5869984770713431E-2</c:v>
                      </c:pt>
                      <c:pt idx="8">
                        <c:v>2.1743821566932126E-2</c:v>
                      </c:pt>
                      <c:pt idx="9">
                        <c:v>2.5634074080207656E-2</c:v>
                      </c:pt>
                      <c:pt idx="10">
                        <c:v>2.7706786224306848E-2</c:v>
                      </c:pt>
                      <c:pt idx="11">
                        <c:v>2.8157238189395587E-2</c:v>
                      </c:pt>
                      <c:pt idx="12">
                        <c:v>2.7149361526336749E-2</c:v>
                      </c:pt>
                      <c:pt idx="13">
                        <c:v>2.4779684966580409E-2</c:v>
                      </c:pt>
                      <c:pt idx="14">
                        <c:v>2.1089886435842694E-2</c:v>
                      </c:pt>
                      <c:pt idx="15">
                        <c:v>1.6129650746060514E-2</c:v>
                      </c:pt>
                    </c:numCache>
                  </c:numRef>
                </c:yVal>
                <c:smooth val="1"/>
                <c:extLst>
                  <c:ext xmlns:c16="http://schemas.microsoft.com/office/drawing/2014/chart" uri="{C3380CC4-5D6E-409C-BE32-E72D297353CC}">
                    <c16:uniqueId val="{00000003-8F5F-4EF5-ABCF-65025E875B32}"/>
                  </c:ext>
                </c:extLst>
              </c15:ser>
            </c15:filteredScatterSeries>
            <c15:filteredScatterSeries>
              <c15:ser>
                <c:idx val="4"/>
                <c:order val="4"/>
                <c:tx>
                  <c:strRef>
                    <c:extLst xmlns:c15="http://schemas.microsoft.com/office/drawing/2012/chart">
                      <c:ext xmlns:c15="http://schemas.microsoft.com/office/drawing/2012/chart" uri="{02D57815-91ED-43cb-92C2-25804820EDAC}">
                        <c15:formulaRef>
                          <c15:sqref>'主翼(平面形結果)'!$S$44</c15:sqref>
                        </c15:formulaRef>
                      </c:ext>
                    </c:extLst>
                    <c:strCache>
                      <c:ptCount val="1"/>
                      <c:pt idx="0">
                        <c:v>case5</c:v>
                      </c:pt>
                    </c:strCache>
                  </c:strRef>
                </c:tx>
                <c:spPr>
                  <a:ln w="19050" cap="rnd">
                    <a:solidFill>
                      <a:schemeClr val="accent5"/>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'主翼(平面形結果)'!$S$46:$S$61</c15:sqref>
                        </c15:formulaRef>
                      </c:ext>
                    </c:extLst>
                    <c:numCache>
                      <c:formatCode>General</c:formatCode>
                      <c:ptCount val="16"/>
                      <c:pt idx="0">
                        <c:v>0.38284538201161311</c:v>
                      </c:pt>
                      <c:pt idx="1">
                        <c:v>0.49671218919103033</c:v>
                      </c:pt>
                      <c:pt idx="2">
                        <c:v>0.61036197360281796</c:v>
                      </c:pt>
                      <c:pt idx="3">
                        <c:v>0.72379704615925311</c:v>
                      </c:pt>
                      <c:pt idx="4">
                        <c:v>0.8362658789038222</c:v>
                      </c:pt>
                      <c:pt idx="5">
                        <c:v>0.9461708444317446</c:v>
                      </c:pt>
                      <c:pt idx="6">
                        <c:v>1.0512446555832653</c:v>
                      </c:pt>
                      <c:pt idx="7">
                        <c:v>1.1489013372692345</c:v>
                      </c:pt>
                      <c:pt idx="8">
                        <c:v>1.2367657027996857</c:v>
                      </c:pt>
                      <c:pt idx="9">
                        <c:v>1.3128270408198552</c:v>
                      </c:pt>
                      <c:pt idx="10">
                        <c:v>1.3760387777163889</c:v>
                      </c:pt>
                      <c:pt idx="11">
                        <c:v>1.4264909892146416</c:v>
                      </c:pt>
                      <c:pt idx="12">
                        <c:v>1.4654960851524816</c:v>
                      </c:pt>
                      <c:pt idx="13">
                        <c:v>1.4954139738277121</c:v>
                      </c:pt>
                      <c:pt idx="14">
                        <c:v>1.5191324011381448</c:v>
                      </c:pt>
                      <c:pt idx="15">
                        <c:v>1.5392281314903207</c:v>
                      </c:pt>
                    </c:numCache>
                  </c:numRef>
                </c:xVal>
                <c:yVal>
                  <c:numRef>
                    <c:extLst xmlns:c15="http://schemas.microsoft.com/office/drawing/2012/chart">
                      <c:ext xmlns:c15="http://schemas.microsoft.com/office/drawing/2012/chart" uri="{02D57815-91ED-43cb-92C2-25804820EDAC}">
                        <c15:formulaRef>
                          <c15:sqref>'主翼(平面形結果)'!$V$46:$V$61</c15:sqref>
                        </c15:formulaRef>
                      </c:ext>
                    </c:extLst>
                    <c:numCache>
                      <c:formatCode>General</c:formatCode>
                      <c:ptCount val="16"/>
                      <c:pt idx="0">
                        <c:v>-7.4244488381370571E-2</c:v>
                      </c:pt>
                      <c:pt idx="1">
                        <c:v>-5.7144259686747891E-2</c:v>
                      </c:pt>
                      <c:pt idx="2">
                        <c:v>-4.0780637277623773E-2</c:v>
                      </c:pt>
                      <c:pt idx="3">
                        <c:v>-2.5689168699845843E-2</c:v>
                      </c:pt>
                      <c:pt idx="4">
                        <c:v>-1.231837088540518E-2</c:v>
                      </c:pt>
                      <c:pt idx="5">
                        <c:v>-1.0411261988274377E-3</c:v>
                      </c:pt>
                      <c:pt idx="6">
                        <c:v>7.8685324309105947E-3</c:v>
                      </c:pt>
                      <c:pt idx="7">
                        <c:v>1.4268396279930193E-2</c:v>
                      </c:pt>
                      <c:pt idx="8">
                        <c:v>1.8177099674496534E-2</c:v>
                      </c:pt>
                      <c:pt idx="9">
                        <c:v>1.9746733323361489E-2</c:v>
                      </c:pt>
                      <c:pt idx="10">
                        <c:v>1.923727615783858E-2</c:v>
                      </c:pt>
                      <c:pt idx="11">
                        <c:v>1.6936100012775523E-2</c:v>
                      </c:pt>
                      <c:pt idx="12">
                        <c:v>1.3084819048684262E-2</c:v>
                      </c:pt>
                      <c:pt idx="13">
                        <c:v>7.8370222155974556E-3</c:v>
                      </c:pt>
                      <c:pt idx="14">
                        <c:v>1.2694374043107676E-3</c:v>
                      </c:pt>
                      <c:pt idx="15">
                        <c:v>-6.5527042199449419E-3</c:v>
                      </c:pt>
                    </c:numCache>
                  </c:numRef>
                </c:yVal>
                <c:smooth val="1"/>
                <c:extLst xmlns:c15="http://schemas.microsoft.com/office/drawing/2012/chart">
                  <c:ext xmlns:c16="http://schemas.microsoft.com/office/drawing/2014/chart" uri="{C3380CC4-5D6E-409C-BE32-E72D297353CC}">
                    <c16:uniqueId val="{00000004-8F5F-4EF5-ABCF-65025E875B32}"/>
                  </c:ext>
                </c:extLst>
              </c15:ser>
            </c15:filteredScatterSeries>
            <c15:filteredScatterSeries>
              <c15:ser>
                <c:idx val="5"/>
                <c:order val="5"/>
                <c:tx>
                  <c:strRef>
                    <c:extLst xmlns:c15="http://schemas.microsoft.com/office/drawing/2012/chart">
                      <c:ext xmlns:c15="http://schemas.microsoft.com/office/drawing/2012/chart" uri="{02D57815-91ED-43cb-92C2-25804820EDAC}">
                        <c15:formulaRef>
                          <c15:sqref>'主翼(平面形結果)'!$W$44</c15:sqref>
                        </c15:formulaRef>
                      </c:ext>
                    </c:extLst>
                    <c:strCache>
                      <c:ptCount val="1"/>
                      <c:pt idx="0">
                        <c:v>case6</c:v>
                      </c:pt>
                    </c:strCache>
                  </c:strRef>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'主翼(平面形結果)'!$W$46:$W$61</c15:sqref>
                        </c15:formulaRef>
                      </c:ext>
                    </c:extLst>
                    <c:numCache>
                      <c:formatCode>General</c:formatCode>
                      <c:ptCount val="16"/>
                      <c:pt idx="0">
                        <c:v>0.42220986894135343</c:v>
                      </c:pt>
                      <c:pt idx="1">
                        <c:v>0.53808284201360423</c:v>
                      </c:pt>
                      <c:pt idx="2">
                        <c:v>0.65320665744349193</c:v>
                      </c:pt>
                      <c:pt idx="3">
                        <c:v>0.76696749608764636</c:v>
                      </c:pt>
                      <c:pt idx="4">
                        <c:v>0.87773796692470463</c:v>
                      </c:pt>
                      <c:pt idx="5">
                        <c:v>0.9832071973213331</c:v>
                      </c:pt>
                      <c:pt idx="6">
                        <c:v>1.0810081098214603</c:v>
                      </c:pt>
                      <c:pt idx="7">
                        <c:v>1.1689949072603625</c:v>
                      </c:pt>
                      <c:pt idx="8">
                        <c:v>1.2457640630183142</c:v>
                      </c:pt>
                      <c:pt idx="9">
                        <c:v>1.310345208300886</c:v>
                      </c:pt>
                      <c:pt idx="10">
                        <c:v>1.3626586070056004</c:v>
                      </c:pt>
                      <c:pt idx="11">
                        <c:v>1.4033092531291642</c:v>
                      </c:pt>
                      <c:pt idx="12">
                        <c:v>1.433658169481042</c:v>
                      </c:pt>
                      <c:pt idx="13">
                        <c:v>1.4560816959192397</c:v>
                      </c:pt>
                      <c:pt idx="14">
                        <c:v>1.4734104045534535</c:v>
                      </c:pt>
                      <c:pt idx="15">
                        <c:v>1.4883013337930915</c:v>
                      </c:pt>
                    </c:numCache>
                  </c:numRef>
                </c:xVal>
                <c:yVal>
                  <c:numRef>
                    <c:extLst xmlns:c15="http://schemas.microsoft.com/office/drawing/2012/chart">
                      <c:ext xmlns:c15="http://schemas.microsoft.com/office/drawing/2012/chart" uri="{02D57815-91ED-43cb-92C2-25804820EDAC}">
                        <c15:formulaRef>
                          <c15:sqref>'主翼(平面形結果)'!$Z$46:$Z$61</c15:sqref>
                        </c15:formulaRef>
                      </c:ext>
                    </c:extLst>
                    <c:numCache>
                      <c:formatCode>General</c:formatCode>
                      <c:ptCount val="16"/>
                      <c:pt idx="0">
                        <c:v>-6.5728336976698776E-2</c:v>
                      </c:pt>
                      <c:pt idx="1">
                        <c:v>-4.7947684154790726E-2</c:v>
                      </c:pt>
                      <c:pt idx="2">
                        <c:v>-3.1691745716993035E-2</c:v>
                      </c:pt>
                      <c:pt idx="3">
                        <c:v>-1.7897203962205975E-2</c:v>
                      </c:pt>
                      <c:pt idx="4">
                        <c:v>-7.3501588721350489E-3</c:v>
                      </c:pt>
                      <c:pt idx="5">
                        <c:v>-5.8280773099952227E-4</c:v>
                      </c:pt>
                      <c:pt idx="6">
                        <c:v>2.2485190221972775E-3</c:v>
                      </c:pt>
                      <c:pt idx="7">
                        <c:v>1.3619811564685152E-3</c:v>
                      </c:pt>
                      <c:pt idx="8">
                        <c:v>-2.6947626897467812E-3</c:v>
                      </c:pt>
                      <c:pt idx="9">
                        <c:v>-9.2278376221393062E-3</c:v>
                      </c:pt>
                      <c:pt idx="10">
                        <c:v>-1.7492027818537335E-2</c:v>
                      </c:pt>
                      <c:pt idx="11">
                        <c:v>-2.6847060773893247E-2</c:v>
                      </c:pt>
                      <c:pt idx="12">
                        <c:v>-3.6851337398433034E-2</c:v>
                      </c:pt>
                      <c:pt idx="13">
                        <c:v>-4.7303401415913646E-2</c:v>
                      </c:pt>
                      <c:pt idx="14">
                        <c:v>-5.8274293919103354E-2</c:v>
                      </c:pt>
                      <c:pt idx="15">
                        <c:v>-7.00353349761412E-2</c:v>
                      </c:pt>
                    </c:numCache>
                  </c:numRef>
                </c:yVal>
                <c:smooth val="1"/>
                <c:extLst xmlns:c15="http://schemas.microsoft.com/office/drawing/2012/chart">
                  <c:ext xmlns:c16="http://schemas.microsoft.com/office/drawing/2014/chart" uri="{C3380CC4-5D6E-409C-BE32-E72D297353CC}">
                    <c16:uniqueId val="{00000005-8F5F-4EF5-ABCF-65025E875B32}"/>
                  </c:ext>
                </c:extLst>
              </c15:ser>
            </c15:filteredScatterSeries>
          </c:ext>
        </c:extLst>
      </c:scatterChart>
      <c:valAx>
        <c:axId val="10541413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54139424"/>
        <c:crosses val="autoZero"/>
        <c:crossBetween val="midCat"/>
      </c:valAx>
      <c:valAx>
        <c:axId val="105413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541413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断面二次モーメント分布</a:t>
            </a:r>
          </a:p>
        </c:rich>
      </c:tx>
      <c:layout>
        <c:manualLayout>
          <c:xMode val="edge"/>
          <c:yMode val="edge"/>
          <c:x val="0.38272604837629404"/>
          <c:y val="9.5238095238095247E-3"/>
        </c:manualLayout>
      </c:layout>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v>Ix</c:v>
          </c:tx>
          <c:spPr>
            <a:ln w="25400" cap="rnd">
              <a:noFill/>
              <a:round/>
            </a:ln>
            <a:effectLst/>
          </c:spPr>
          <c:marker>
            <c:symbol val="circle"/>
            <c:size val="5"/>
            <c:spPr>
              <a:solidFill>
                <a:schemeClr val="accent1"/>
              </a:solidFill>
              <a:ln w="9525">
                <a:solidFill>
                  <a:schemeClr val="accent1"/>
                </a:solidFill>
              </a:ln>
              <a:effectLst/>
            </c:spPr>
          </c:marker>
          <c:xVal>
            <c:numLit>
              <c:formatCode>General</c:formatCode>
              <c:ptCount val="3"/>
              <c:pt idx="0">
                <c:v>0</c:v>
              </c:pt>
              <c:pt idx="1">
                <c:v>0.2</c:v>
              </c:pt>
              <c:pt idx="2">
                <c:v>0.35</c:v>
              </c:pt>
            </c:numLit>
          </c:xVal>
          <c:yVal>
            <c:numLit>
              <c:formatCode>General</c:formatCode>
              <c:ptCount val="3"/>
              <c:pt idx="0">
                <c:v>1096053.9180233192</c:v>
              </c:pt>
              <c:pt idx="1">
                <c:v>1096053.9180233192</c:v>
              </c:pt>
              <c:pt idx="2">
                <c:v>1096053.9180233192</c:v>
              </c:pt>
            </c:numLit>
          </c:yVal>
          <c:smooth val="0"/>
          <c:extLst>
            <c:ext xmlns:c16="http://schemas.microsoft.com/office/drawing/2014/chart" uri="{C3380CC4-5D6E-409C-BE32-E72D297353CC}">
              <c16:uniqueId val="{00000000-3D0A-4451-B7C6-24CE5F421092}"/>
            </c:ext>
          </c:extLst>
        </c:ser>
        <c:ser>
          <c:idx val="1"/>
          <c:order val="1"/>
          <c:tx>
            <c:v>Iy</c:v>
          </c:tx>
          <c:spPr>
            <a:ln w="25400" cap="rnd">
              <a:noFill/>
              <a:round/>
            </a:ln>
            <a:effectLst/>
          </c:spPr>
          <c:marker>
            <c:symbol val="circle"/>
            <c:size val="5"/>
            <c:spPr>
              <a:solidFill>
                <a:schemeClr val="accent2"/>
              </a:solidFill>
              <a:ln w="9525">
                <a:solidFill>
                  <a:schemeClr val="accent2"/>
                </a:solidFill>
              </a:ln>
              <a:effectLst/>
            </c:spPr>
          </c:marker>
          <c:xVal>
            <c:numLit>
              <c:formatCode>General</c:formatCode>
              <c:ptCount val="84"/>
              <c:pt idx="0">
                <c:v>0</c:v>
              </c:pt>
              <c:pt idx="1">
                <c:v>0.2</c:v>
              </c:pt>
              <c:pt idx="2">
                <c:v>0.35</c:v>
              </c:pt>
              <c:pt idx="3">
                <c:v>0.49999999999999994</c:v>
              </c:pt>
              <c:pt idx="4">
                <c:v>0.65</c:v>
              </c:pt>
              <c:pt idx="5">
                <c:v>0.8</c:v>
              </c:pt>
              <c:pt idx="6">
                <c:v>0.95</c:v>
              </c:pt>
              <c:pt idx="7">
                <c:v>1.1000000000000001</c:v>
              </c:pt>
              <c:pt idx="8">
                <c:v>1.25</c:v>
              </c:pt>
              <c:pt idx="9">
                <c:v>1.4</c:v>
              </c:pt>
              <c:pt idx="10">
                <c:v>1.55</c:v>
              </c:pt>
              <c:pt idx="11">
                <c:v>1.7</c:v>
              </c:pt>
              <c:pt idx="12">
                <c:v>1.8499999999999999</c:v>
              </c:pt>
              <c:pt idx="13">
                <c:v>2</c:v>
              </c:pt>
              <c:pt idx="14">
                <c:v>2.15</c:v>
              </c:pt>
              <c:pt idx="15">
                <c:v>2.2999999999999998</c:v>
              </c:pt>
              <c:pt idx="16">
                <c:v>2.4499999999999997</c:v>
              </c:pt>
              <c:pt idx="17">
                <c:v>2.5999999999999996</c:v>
              </c:pt>
              <c:pt idx="18">
                <c:v>2.7499999999999996</c:v>
              </c:pt>
              <c:pt idx="19">
                <c:v>2.9</c:v>
              </c:pt>
              <c:pt idx="20">
                <c:v>3.05</c:v>
              </c:pt>
              <c:pt idx="21">
                <c:v>3.1999999999999997</c:v>
              </c:pt>
              <c:pt idx="22">
                <c:v>3.3499999999999996</c:v>
              </c:pt>
              <c:pt idx="23">
                <c:v>3.4999999999999996</c:v>
              </c:pt>
              <c:pt idx="24">
                <c:v>3.6499999999999995</c:v>
              </c:pt>
              <c:pt idx="25">
                <c:v>3.8</c:v>
              </c:pt>
              <c:pt idx="26">
                <c:v>3.9499999999999997</c:v>
              </c:pt>
              <c:pt idx="27">
                <c:v>4.0999999999999996</c:v>
              </c:pt>
              <c:pt idx="28">
                <c:v>4.25</c:v>
              </c:pt>
              <c:pt idx="29">
                <c:v>4.3999999999999995</c:v>
              </c:pt>
              <c:pt idx="30">
                <c:v>4.55</c:v>
              </c:pt>
              <c:pt idx="31">
                <c:v>4.6999999999999993</c:v>
              </c:pt>
              <c:pt idx="32">
                <c:v>4.8499999999999996</c:v>
              </c:pt>
              <c:pt idx="33">
                <c:v>5</c:v>
              </c:pt>
              <c:pt idx="34">
                <c:v>5.1499999999999995</c:v>
              </c:pt>
              <c:pt idx="35">
                <c:v>5.3</c:v>
              </c:pt>
              <c:pt idx="36">
                <c:v>5.4499999999999993</c:v>
              </c:pt>
              <c:pt idx="37">
                <c:v>5.6</c:v>
              </c:pt>
              <c:pt idx="38">
                <c:v>5.75</c:v>
              </c:pt>
              <c:pt idx="39">
                <c:v>5.8999999999999995</c:v>
              </c:pt>
              <c:pt idx="40">
                <c:v>6.05</c:v>
              </c:pt>
              <c:pt idx="41">
                <c:v>6.1999999999999993</c:v>
              </c:pt>
              <c:pt idx="42">
                <c:v>6.35</c:v>
              </c:pt>
              <c:pt idx="43">
                <c:v>6.5</c:v>
              </c:pt>
              <c:pt idx="44">
                <c:v>6.6499999999999995</c:v>
              </c:pt>
              <c:pt idx="45">
                <c:v>6.8</c:v>
              </c:pt>
              <c:pt idx="46">
                <c:v>6.9499999999999993</c:v>
              </c:pt>
              <c:pt idx="47">
                <c:v>7.1</c:v>
              </c:pt>
              <c:pt idx="48">
                <c:v>7.2499999999999991</c:v>
              </c:pt>
              <c:pt idx="49">
                <c:v>7.3999999999999995</c:v>
              </c:pt>
              <c:pt idx="50">
                <c:v>7.55</c:v>
              </c:pt>
              <c:pt idx="51">
                <c:v>7.6999999999999993</c:v>
              </c:pt>
              <c:pt idx="52">
                <c:v>7.85</c:v>
              </c:pt>
              <c:pt idx="53">
                <c:v>7.9999999999999991</c:v>
              </c:pt>
              <c:pt idx="54">
                <c:v>8.15</c:v>
              </c:pt>
              <c:pt idx="55">
                <c:v>8.3000000000000007</c:v>
              </c:pt>
              <c:pt idx="56">
                <c:v>8.4500000000000011</c:v>
              </c:pt>
              <c:pt idx="57">
                <c:v>8.6</c:v>
              </c:pt>
              <c:pt idx="58">
                <c:v>8.75</c:v>
              </c:pt>
              <c:pt idx="59">
                <c:v>8.9</c:v>
              </c:pt>
              <c:pt idx="60">
                <c:v>9.0500000000000007</c:v>
              </c:pt>
              <c:pt idx="61">
                <c:v>9.2000000000000011</c:v>
              </c:pt>
              <c:pt idx="62">
                <c:v>9.35</c:v>
              </c:pt>
              <c:pt idx="63">
                <c:v>9.5</c:v>
              </c:pt>
              <c:pt idx="64">
                <c:v>9.65</c:v>
              </c:pt>
              <c:pt idx="65">
                <c:v>9.8000000000000007</c:v>
              </c:pt>
              <c:pt idx="66">
                <c:v>9.9500000000000011</c:v>
              </c:pt>
              <c:pt idx="67">
                <c:v>10.1</c:v>
              </c:pt>
              <c:pt idx="68">
                <c:v>10.25</c:v>
              </c:pt>
              <c:pt idx="69">
                <c:v>10.4</c:v>
              </c:pt>
              <c:pt idx="70">
                <c:v>10.55</c:v>
              </c:pt>
              <c:pt idx="71">
                <c:v>10.700000000000001</c:v>
              </c:pt>
              <c:pt idx="72">
                <c:v>10.85</c:v>
              </c:pt>
              <c:pt idx="73">
                <c:v>11</c:v>
              </c:pt>
              <c:pt idx="74">
                <c:v>11.15</c:v>
              </c:pt>
              <c:pt idx="75">
                <c:v>11.3</c:v>
              </c:pt>
              <c:pt idx="76">
                <c:v>11.450000000000001</c:v>
              </c:pt>
              <c:pt idx="77">
                <c:v>11.6</c:v>
              </c:pt>
              <c:pt idx="78">
                <c:v>11.75</c:v>
              </c:pt>
              <c:pt idx="79">
                <c:v>11.9</c:v>
              </c:pt>
              <c:pt idx="80">
                <c:v>12.05</c:v>
              </c:pt>
              <c:pt idx="81">
                <c:v>12.200000000000001</c:v>
              </c:pt>
              <c:pt idx="82">
                <c:v>12.35</c:v>
              </c:pt>
              <c:pt idx="83">
                <c:v>12.5</c:v>
              </c:pt>
            </c:numLit>
          </c:xVal>
          <c:yVal>
            <c:numLit>
              <c:formatCode>General</c:formatCode>
              <c:ptCount val="84"/>
              <c:pt idx="0">
                <c:v>1096053.9180233171</c:v>
              </c:pt>
              <c:pt idx="1">
                <c:v>1096053.9180233171</c:v>
              </c:pt>
              <c:pt idx="2">
                <c:v>1096053.9180233171</c:v>
              </c:pt>
              <c:pt idx="3">
                <c:v>1096053.9180233171</c:v>
              </c:pt>
              <c:pt idx="4">
                <c:v>1096053.9180233171</c:v>
              </c:pt>
              <c:pt idx="5">
                <c:v>1096053.9180233171</c:v>
              </c:pt>
              <c:pt idx="6">
                <c:v>1096053.9180233171</c:v>
              </c:pt>
              <c:pt idx="7">
                <c:v>1096053.9180233171</c:v>
              </c:pt>
              <c:pt idx="8">
                <c:v>1096053.9180233171</c:v>
              </c:pt>
              <c:pt idx="9">
                <c:v>5130711.7483083978</c:v>
              </c:pt>
              <c:pt idx="10">
                <c:v>4443068.9803769756</c:v>
              </c:pt>
              <c:pt idx="11">
                <c:v>3778112.5551839378</c:v>
              </c:pt>
              <c:pt idx="12">
                <c:v>1183613.2782508337</c:v>
              </c:pt>
              <c:pt idx="13">
                <c:v>1141425.6878162008</c:v>
              </c:pt>
              <c:pt idx="14">
                <c:v>1100252.6620187117</c:v>
              </c:pt>
              <c:pt idx="15">
                <c:v>1060081.8522042884</c:v>
              </c:pt>
              <c:pt idx="16">
                <c:v>1020900.909718798</c:v>
              </c:pt>
              <c:pt idx="17">
                <c:v>982697.48590826942</c:v>
              </c:pt>
              <c:pt idx="18">
                <c:v>945459.23211861693</c:v>
              </c:pt>
              <c:pt idx="19">
                <c:v>909173.79969577037</c:v>
              </c:pt>
              <c:pt idx="20">
                <c:v>873828.83998568438</c:v>
              </c:pt>
              <c:pt idx="21">
                <c:v>839412.00433427433</c:v>
              </c:pt>
              <c:pt idx="22">
                <c:v>805910.94408752245</c:v>
              </c:pt>
              <c:pt idx="23">
                <c:v>773313.31059134379</c:v>
              </c:pt>
              <c:pt idx="24">
                <c:v>741606.75519166526</c:v>
              </c:pt>
              <c:pt idx="25">
                <c:v>710778.92923444486</c:v>
              </c:pt>
              <c:pt idx="26">
                <c:v>680817.48406561965</c:v>
              </c:pt>
              <c:pt idx="27">
                <c:v>651710.07103110699</c:v>
              </c:pt>
              <c:pt idx="28">
                <c:v>623444.34147688432</c:v>
              </c:pt>
              <c:pt idx="29">
                <c:v>596007.94674883818</c:v>
              </c:pt>
              <c:pt idx="30">
                <c:v>569388.53819292353</c:v>
              </c:pt>
              <c:pt idx="31">
                <c:v>543573.76715507905</c:v>
              </c:pt>
              <c:pt idx="32">
                <c:v>518551.28498123604</c:v>
              </c:pt>
              <c:pt idx="33">
                <c:v>1422917.7826019549</c:v>
              </c:pt>
              <c:pt idx="34">
                <c:v>1382928.8039101053</c:v>
              </c:pt>
              <c:pt idx="35">
                <c:v>562967.10131241637</c:v>
              </c:pt>
              <c:pt idx="36">
                <c:v>539041.75732173421</c:v>
              </c:pt>
              <c:pt idx="37">
                <c:v>515804.06426626246</c:v>
              </c:pt>
              <c:pt idx="38">
                <c:v>493243.99528956437</c:v>
              </c:pt>
              <c:pt idx="39">
                <c:v>471351.52353520115</c:v>
              </c:pt>
              <c:pt idx="40">
                <c:v>450116.62214672996</c:v>
              </c:pt>
              <c:pt idx="41">
                <c:v>429529.26426771324</c:v>
              </c:pt>
              <c:pt idx="42">
                <c:v>409579.42304169375</c:v>
              </c:pt>
              <c:pt idx="43">
                <c:v>390257.07161223248</c:v>
              </c:pt>
              <c:pt idx="44">
                <c:v>371552.18312287523</c:v>
              </c:pt>
              <c:pt idx="45">
                <c:v>353454.73071719165</c:v>
              </c:pt>
              <c:pt idx="46">
                <c:v>335954.68753872608</c:v>
              </c:pt>
              <c:pt idx="47">
                <c:v>319042.02673101862</c:v>
              </c:pt>
              <c:pt idx="48">
                <c:v>302706.72143763321</c:v>
              </c:pt>
              <c:pt idx="49">
                <c:v>286938.74480211048</c:v>
              </c:pt>
              <c:pt idx="50">
                <c:v>271728.06996800244</c:v>
              </c:pt>
              <c:pt idx="51">
                <c:v>257064.67007885326</c:v>
              </c:pt>
              <c:pt idx="52">
                <c:v>242938.51827820999</c:v>
              </c:pt>
              <c:pt idx="53">
                <c:v>229339.58770960956</c:v>
              </c:pt>
              <c:pt idx="54">
                <c:v>216257.85151659598</c:v>
              </c:pt>
              <c:pt idx="55">
                <c:v>203683.28284271035</c:v>
              </c:pt>
              <c:pt idx="56">
                <c:v>673401.89851969597</c:v>
              </c:pt>
              <c:pt idx="57">
                <c:v>643749.55759673147</c:v>
              </c:pt>
              <c:pt idx="58">
                <c:v>227117.69935700169</c:v>
              </c:pt>
              <c:pt idx="59">
                <c:v>215187.86654465541</c:v>
              </c:pt>
              <c:pt idx="60">
                <c:v>203683.28284271018</c:v>
              </c:pt>
              <c:pt idx="61">
                <c:v>192596.23069461031</c:v>
              </c:pt>
              <c:pt idx="62">
                <c:v>181918.99254381625</c:v>
              </c:pt>
              <c:pt idx="63">
                <c:v>171643.85083377603</c:v>
              </c:pt>
              <c:pt idx="64">
                <c:v>161763.08800793171</c:v>
              </c:pt>
              <c:pt idx="65">
                <c:v>152268.98650973092</c:v>
              </c:pt>
              <c:pt idx="66">
                <c:v>143153.82878261467</c:v>
              </c:pt>
              <c:pt idx="67">
                <c:v>134409.89727002094</c:v>
              </c:pt>
              <c:pt idx="68">
                <c:v>126029.47441539005</c:v>
              </c:pt>
              <c:pt idx="69">
                <c:v>118004.84266215253</c:v>
              </c:pt>
              <c:pt idx="70">
                <c:v>110328.28445373464</c:v>
              </c:pt>
              <c:pt idx="71">
                <c:v>102992.08223356234</c:v>
              </c:pt>
              <c:pt idx="72">
                <c:v>95988.518445052556</c:v>
              </c:pt>
              <c:pt idx="73">
                <c:v>89309.875531626327</c:v>
              </c:pt>
              <c:pt idx="74">
                <c:v>82948.435936683411</c:v>
              </c:pt>
              <c:pt idx="75">
                <c:v>76896.482103627553</c:v>
              </c:pt>
              <c:pt idx="76">
                <c:v>71146.296475852563</c:v>
              </c:pt>
              <c:pt idx="77">
                <c:v>65690.161496742425</c:v>
              </c:pt>
              <c:pt idx="78">
                <c:v>60520.359609671068</c:v>
              </c:pt>
              <c:pt idx="79">
                <c:v>55629.173258003073</c:v>
              </c:pt>
              <c:pt idx="80">
                <c:v>51008.88488508953</c:v>
              </c:pt>
              <c:pt idx="81">
                <c:v>46651.776934264701</c:v>
              </c:pt>
              <c:pt idx="82">
                <c:v>42550.131848848723</c:v>
              </c:pt>
              <c:pt idx="83">
                <c:v>38696.232072141102</c:v>
              </c:pt>
            </c:numLit>
          </c:yVal>
          <c:smooth val="0"/>
          <c:extLst>
            <c:ext xmlns:c16="http://schemas.microsoft.com/office/drawing/2014/chart" uri="{C3380CC4-5D6E-409C-BE32-E72D297353CC}">
              <c16:uniqueId val="{00000001-3D0A-4451-B7C6-24CE5F421092}"/>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max val="40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断面二次モーメント </a:t>
                </a:r>
                <a:r>
                  <a:rPr lang="en-US" altLang="ja-JP"/>
                  <a:t>[mm^4]</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曲げ剛性分布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v>Eix</c:v>
          </c:tx>
          <c:spPr>
            <a:ln w="25400" cap="rnd">
              <a:noFill/>
              <a:round/>
            </a:ln>
            <a:effectLst/>
          </c:spPr>
          <c:marker>
            <c:symbol val="circle"/>
            <c:size val="5"/>
            <c:spPr>
              <a:solidFill>
                <a:schemeClr val="accent1"/>
              </a:solidFill>
              <a:ln w="9525">
                <a:solidFill>
                  <a:schemeClr val="accent1"/>
                </a:solidFill>
              </a:ln>
              <a:effectLst/>
            </c:spPr>
          </c:marker>
          <c:xVal>
            <c:numLit>
              <c:formatCode>General</c:formatCode>
              <c:ptCount val="83"/>
              <c:pt idx="0">
                <c:v>0.2</c:v>
              </c:pt>
              <c:pt idx="1">
                <c:v>0.35</c:v>
              </c:pt>
              <c:pt idx="2">
                <c:v>0.49999999999999994</c:v>
              </c:pt>
              <c:pt idx="3">
                <c:v>0.65</c:v>
              </c:pt>
              <c:pt idx="4">
                <c:v>0.8</c:v>
              </c:pt>
              <c:pt idx="5">
                <c:v>0.95</c:v>
              </c:pt>
              <c:pt idx="6">
                <c:v>1.1000000000000001</c:v>
              </c:pt>
              <c:pt idx="7">
                <c:v>1.25</c:v>
              </c:pt>
              <c:pt idx="8">
                <c:v>1.4</c:v>
              </c:pt>
              <c:pt idx="9">
                <c:v>1.55</c:v>
              </c:pt>
              <c:pt idx="10">
                <c:v>1.7</c:v>
              </c:pt>
              <c:pt idx="11">
                <c:v>1.8499999999999999</c:v>
              </c:pt>
              <c:pt idx="12">
                <c:v>2</c:v>
              </c:pt>
              <c:pt idx="13">
                <c:v>2.15</c:v>
              </c:pt>
              <c:pt idx="14">
                <c:v>2.2999999999999998</c:v>
              </c:pt>
              <c:pt idx="15">
                <c:v>2.4499999999999997</c:v>
              </c:pt>
              <c:pt idx="16">
                <c:v>2.5999999999999996</c:v>
              </c:pt>
              <c:pt idx="17">
                <c:v>2.7499999999999996</c:v>
              </c:pt>
              <c:pt idx="18">
                <c:v>2.9</c:v>
              </c:pt>
              <c:pt idx="19">
                <c:v>3.05</c:v>
              </c:pt>
              <c:pt idx="20">
                <c:v>3.1999999999999997</c:v>
              </c:pt>
              <c:pt idx="21">
                <c:v>3.3499999999999996</c:v>
              </c:pt>
              <c:pt idx="22">
                <c:v>3.4999999999999996</c:v>
              </c:pt>
              <c:pt idx="23">
                <c:v>3.6499999999999995</c:v>
              </c:pt>
              <c:pt idx="24">
                <c:v>3.8</c:v>
              </c:pt>
              <c:pt idx="25">
                <c:v>3.9499999999999997</c:v>
              </c:pt>
              <c:pt idx="26">
                <c:v>4.0999999999999996</c:v>
              </c:pt>
              <c:pt idx="27">
                <c:v>4.25</c:v>
              </c:pt>
              <c:pt idx="28">
                <c:v>4.3999999999999995</c:v>
              </c:pt>
              <c:pt idx="29">
                <c:v>4.55</c:v>
              </c:pt>
              <c:pt idx="30">
                <c:v>4.6999999999999993</c:v>
              </c:pt>
              <c:pt idx="31">
                <c:v>4.8499999999999996</c:v>
              </c:pt>
              <c:pt idx="32">
                <c:v>5</c:v>
              </c:pt>
              <c:pt idx="33">
                <c:v>5.1499999999999995</c:v>
              </c:pt>
              <c:pt idx="34">
                <c:v>5.3</c:v>
              </c:pt>
              <c:pt idx="35">
                <c:v>5.4499999999999993</c:v>
              </c:pt>
              <c:pt idx="36">
                <c:v>5.6</c:v>
              </c:pt>
              <c:pt idx="37">
                <c:v>5.75</c:v>
              </c:pt>
              <c:pt idx="38">
                <c:v>5.8999999999999995</c:v>
              </c:pt>
              <c:pt idx="39">
                <c:v>6.05</c:v>
              </c:pt>
              <c:pt idx="40">
                <c:v>6.1999999999999993</c:v>
              </c:pt>
              <c:pt idx="41">
                <c:v>6.35</c:v>
              </c:pt>
              <c:pt idx="42">
                <c:v>6.5</c:v>
              </c:pt>
              <c:pt idx="43">
                <c:v>6.6499999999999995</c:v>
              </c:pt>
              <c:pt idx="44">
                <c:v>6.8</c:v>
              </c:pt>
              <c:pt idx="45">
                <c:v>6.9499999999999993</c:v>
              </c:pt>
              <c:pt idx="46">
                <c:v>7.1</c:v>
              </c:pt>
              <c:pt idx="47">
                <c:v>7.2499999999999991</c:v>
              </c:pt>
              <c:pt idx="48">
                <c:v>7.3999999999999995</c:v>
              </c:pt>
              <c:pt idx="49">
                <c:v>7.55</c:v>
              </c:pt>
              <c:pt idx="50">
                <c:v>7.6999999999999993</c:v>
              </c:pt>
              <c:pt idx="51">
                <c:v>7.85</c:v>
              </c:pt>
              <c:pt idx="52">
                <c:v>7.9999999999999991</c:v>
              </c:pt>
              <c:pt idx="53">
                <c:v>8.15</c:v>
              </c:pt>
              <c:pt idx="54">
                <c:v>8.3000000000000007</c:v>
              </c:pt>
              <c:pt idx="55">
                <c:v>8.4500000000000011</c:v>
              </c:pt>
              <c:pt idx="56">
                <c:v>8.6</c:v>
              </c:pt>
              <c:pt idx="57">
                <c:v>8.75</c:v>
              </c:pt>
              <c:pt idx="58">
                <c:v>8.9</c:v>
              </c:pt>
              <c:pt idx="59">
                <c:v>9.0500000000000007</c:v>
              </c:pt>
              <c:pt idx="60">
                <c:v>9.2000000000000011</c:v>
              </c:pt>
              <c:pt idx="61">
                <c:v>9.35</c:v>
              </c:pt>
              <c:pt idx="62">
                <c:v>9.5</c:v>
              </c:pt>
              <c:pt idx="63">
                <c:v>9.65</c:v>
              </c:pt>
              <c:pt idx="64">
                <c:v>9.8000000000000007</c:v>
              </c:pt>
              <c:pt idx="65">
                <c:v>9.9500000000000011</c:v>
              </c:pt>
              <c:pt idx="66">
                <c:v>10.1</c:v>
              </c:pt>
              <c:pt idx="67">
                <c:v>10.25</c:v>
              </c:pt>
              <c:pt idx="68">
                <c:v>10.4</c:v>
              </c:pt>
              <c:pt idx="69">
                <c:v>10.55</c:v>
              </c:pt>
              <c:pt idx="70">
                <c:v>10.700000000000001</c:v>
              </c:pt>
              <c:pt idx="71">
                <c:v>10.85</c:v>
              </c:pt>
              <c:pt idx="72">
                <c:v>11</c:v>
              </c:pt>
              <c:pt idx="73">
                <c:v>11.15</c:v>
              </c:pt>
              <c:pt idx="74">
                <c:v>11.3</c:v>
              </c:pt>
              <c:pt idx="75">
                <c:v>11.450000000000001</c:v>
              </c:pt>
              <c:pt idx="76">
                <c:v>11.6</c:v>
              </c:pt>
              <c:pt idx="77">
                <c:v>11.75</c:v>
              </c:pt>
              <c:pt idx="78">
                <c:v>11.9</c:v>
              </c:pt>
              <c:pt idx="79">
                <c:v>12.05</c:v>
              </c:pt>
              <c:pt idx="80">
                <c:v>12.200000000000001</c:v>
              </c:pt>
              <c:pt idx="81">
                <c:v>12.35</c:v>
              </c:pt>
              <c:pt idx="82">
                <c:v>12.5</c:v>
              </c:pt>
            </c:numLit>
          </c:xVal>
          <c:yVal>
            <c:numLit>
              <c:formatCode>General</c:formatCode>
              <c:ptCount val="83"/>
              <c:pt idx="0">
                <c:v>135750.14587831229</c:v>
              </c:pt>
              <c:pt idx="1">
                <c:v>135750.14587831229</c:v>
              </c:pt>
              <c:pt idx="2">
                <c:v>135750.14587831229</c:v>
              </c:pt>
              <c:pt idx="3">
                <c:v>135750.14587831229</c:v>
              </c:pt>
              <c:pt idx="4">
                <c:v>135750.14587831229</c:v>
              </c:pt>
              <c:pt idx="5">
                <c:v>135750.14587831229</c:v>
              </c:pt>
              <c:pt idx="6">
                <c:v>135750.14587831229</c:v>
              </c:pt>
              <c:pt idx="7">
                <c:v>135750.14587831229</c:v>
              </c:pt>
              <c:pt idx="8">
                <c:v>530233.90183867293</c:v>
              </c:pt>
              <c:pt idx="9">
                <c:v>457876.03903370997</c:v>
              </c:pt>
              <c:pt idx="10">
                <c:v>387888.18669938872</c:v>
              </c:pt>
              <c:pt idx="11">
                <c:v>125543.18341654437</c:v>
              </c:pt>
              <c:pt idx="12">
                <c:v>121086.14404358887</c:v>
              </c:pt>
              <c:pt idx="13">
                <c:v>116735.86236287501</c:v>
              </c:pt>
              <c:pt idx="14">
                <c:v>112491.0442514274</c:v>
              </c:pt>
              <c:pt idx="15">
                <c:v>108350.39558626917</c:v>
              </c:pt>
              <c:pt idx="16">
                <c:v>104312.62224442212</c:v>
              </c:pt>
              <c:pt idx="17">
                <c:v>100376.43010291226</c:v>
              </c:pt>
              <c:pt idx="18">
                <c:v>96540.525038759763</c:v>
              </c:pt>
              <c:pt idx="19">
                <c:v>92803.612928989052</c:v>
              </c:pt>
              <c:pt idx="20">
                <c:v>89164.399650622203</c:v>
              </c:pt>
              <c:pt idx="21">
                <c:v>85621.591080683516</c:v>
              </c:pt>
              <c:pt idx="22">
                <c:v>82173.893096196058</c:v>
              </c:pt>
              <c:pt idx="23">
                <c:v>78820.011574180317</c:v>
              </c:pt>
              <c:pt idx="24">
                <c:v>75558.652391661861</c:v>
              </c:pt>
              <c:pt idx="25">
                <c:v>72388.521425662431</c:v>
              </c:pt>
              <c:pt idx="26">
                <c:v>69308.324553204002</c:v>
              </c:pt>
              <c:pt idx="27">
                <c:v>66316.767651310845</c:v>
              </c:pt>
              <c:pt idx="28">
                <c:v>63412.556597004877</c:v>
              </c:pt>
              <c:pt idx="29">
                <c:v>60594.397267308857</c:v>
              </c:pt>
              <c:pt idx="30">
                <c:v>57860.995539244839</c:v>
              </c:pt>
              <c:pt idx="31">
                <c:v>55211.05728983567</c:v>
              </c:pt>
              <c:pt idx="32">
                <c:v>146612.65738707446</c:v>
              </c:pt>
              <c:pt idx="33">
                <c:v>142044.3312414251</c:v>
              </c:pt>
              <c:pt idx="34">
                <c:v>58802.605200458951</c:v>
              </c:pt>
              <c:pt idx="35">
                <c:v>56312.865876626252</c:v>
              </c:pt>
              <c:pt idx="36">
                <c:v>53894.415548192832</c:v>
              </c:pt>
              <c:pt idx="37">
                <c:v>51546.21870594225</c:v>
              </c:pt>
              <c:pt idx="38">
                <c:v>49267.239840657472</c:v>
              </c:pt>
              <c:pt idx="39">
                <c:v>47056.443443120588</c:v>
              </c:pt>
              <c:pt idx="40">
                <c:v>44912.794004115109</c:v>
              </c:pt>
              <c:pt idx="41">
                <c:v>42835.256014423758</c:v>
              </c:pt>
              <c:pt idx="42">
                <c:v>40822.79396482875</c:v>
              </c:pt>
              <c:pt idx="43">
                <c:v>38874.37234611321</c:v>
              </c:pt>
              <c:pt idx="44">
                <c:v>36988.955649059324</c:v>
              </c:pt>
              <c:pt idx="45">
                <c:v>35165.508364450274</c:v>
              </c:pt>
              <c:pt idx="46">
                <c:v>33402.994983067707</c:v>
              </c:pt>
              <c:pt idx="47">
                <c:v>31700.37999569469</c:v>
              </c:pt>
              <c:pt idx="48">
                <c:v>30056.627893113196</c:v>
              </c:pt>
              <c:pt idx="49">
                <c:v>28470.703166104882</c:v>
              </c:pt>
              <c:pt idx="50">
                <c:v>26941.570305452831</c:v>
              </c:pt>
              <c:pt idx="51">
                <c:v>25468.193801938411</c:v>
              </c:pt>
              <c:pt idx="52">
                <c:v>24049.538146343319</c:v>
              </c:pt>
              <c:pt idx="53">
                <c:v>22684.567829449614</c:v>
              </c:pt>
              <c:pt idx="54">
                <c:v>21372.247342038423</c:v>
              </c:pt>
              <c:pt idx="55">
                <c:v>62825.64389265074</c:v>
              </c:pt>
              <c:pt idx="56">
                <c:v>60045.804647147641</c:v>
              </c:pt>
              <c:pt idx="57">
                <c:v>14874.969020432405</c:v>
              </c:pt>
              <c:pt idx="58">
                <c:v>13906.987755938744</c:v>
              </c:pt>
              <c:pt idx="59">
                <c:v>12986.848700987413</c:v>
              </c:pt>
              <c:pt idx="60">
                <c:v>12112.956260161887</c:v>
              </c:pt>
              <c:pt idx="61">
                <c:v>11283.741751071972</c:v>
              </c:pt>
              <c:pt idx="62">
                <c:v>10497.6634043539</c:v>
              </c:pt>
              <c:pt idx="63">
                <c:v>9753.2063636704661</c:v>
              </c:pt>
              <c:pt idx="64">
                <c:v>9048.8826857106797</c:v>
              </c:pt>
              <c:pt idx="65">
                <c:v>8383.2313401901411</c:v>
              </c:pt>
              <c:pt idx="66">
                <c:v>7754.818209850876</c:v>
              </c:pt>
              <c:pt idx="67">
                <c:v>7162.2360904612106</c:v>
              </c:pt>
              <c:pt idx="68">
                <c:v>6922.3521423913553</c:v>
              </c:pt>
              <c:pt idx="69">
                <c:v>6385.644380222373</c:v>
              </c:pt>
              <c:pt idx="70">
                <c:v>5880.4377038508255</c:v>
              </c:pt>
              <c:pt idx="71">
                <c:v>5405.491622044271</c:v>
              </c:pt>
              <c:pt idx="72">
                <c:v>4959.5901141552367</c:v>
              </c:pt>
              <c:pt idx="73">
                <c:v>4541.5416301212117</c:v>
              </c:pt>
              <c:pt idx="74">
                <c:v>4150.179090464615</c:v>
              </c:pt>
              <c:pt idx="75">
                <c:v>3784.3598862928311</c:v>
              </c:pt>
              <c:pt idx="76">
                <c:v>3442.9658792980567</c:v>
              </c:pt>
              <c:pt idx="77">
                <c:v>3124.9034017575227</c:v>
              </c:pt>
              <c:pt idx="78">
                <c:v>2829.1032565331861</c:v>
              </c:pt>
              <c:pt idx="79">
                <c:v>2554.520717072015</c:v>
              </c:pt>
              <c:pt idx="80">
                <c:v>2300.1355274056968</c:v>
              </c:pt>
              <c:pt idx="81">
                <c:v>2064.9519021507249</c:v>
              </c:pt>
              <c:pt idx="82">
                <c:v>1847.9985265084056</c:v>
              </c:pt>
            </c:numLit>
          </c:yVal>
          <c:smooth val="0"/>
          <c:extLst>
            <c:ext xmlns:c16="http://schemas.microsoft.com/office/drawing/2014/chart" uri="{C3380CC4-5D6E-409C-BE32-E72D297353CC}">
              <c16:uniqueId val="{00000000-459F-4E99-B599-8B2135567697}"/>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曲げ剛性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en-US" alt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ねじれ定数分布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v>J</c:v>
          </c:tx>
          <c:spPr>
            <a:ln w="25400" cap="rnd">
              <a:noFill/>
              <a:round/>
            </a:ln>
            <a:effectLst/>
          </c:spPr>
          <c:marker>
            <c:symbol val="circle"/>
            <c:size val="5"/>
            <c:spPr>
              <a:solidFill>
                <a:schemeClr val="accent1"/>
              </a:solidFill>
              <a:ln w="9525">
                <a:solidFill>
                  <a:schemeClr val="accent1"/>
                </a:solidFill>
              </a:ln>
              <a:effectLst/>
            </c:spPr>
          </c:marker>
          <c:xVal>
            <c:numLit>
              <c:formatCode>General</c:formatCode>
              <c:ptCount val="84"/>
              <c:pt idx="0">
                <c:v>0</c:v>
              </c:pt>
              <c:pt idx="1">
                <c:v>0.2</c:v>
              </c:pt>
              <c:pt idx="2">
                <c:v>0.35</c:v>
              </c:pt>
              <c:pt idx="3">
                <c:v>0.49999999999999994</c:v>
              </c:pt>
              <c:pt idx="4">
                <c:v>0.65</c:v>
              </c:pt>
              <c:pt idx="5">
                <c:v>0.8</c:v>
              </c:pt>
              <c:pt idx="6">
                <c:v>0.95</c:v>
              </c:pt>
              <c:pt idx="7">
                <c:v>1.1000000000000001</c:v>
              </c:pt>
              <c:pt idx="8">
                <c:v>1.25</c:v>
              </c:pt>
              <c:pt idx="9">
                <c:v>1.4</c:v>
              </c:pt>
              <c:pt idx="10">
                <c:v>1.55</c:v>
              </c:pt>
              <c:pt idx="11">
                <c:v>1.7</c:v>
              </c:pt>
              <c:pt idx="12">
                <c:v>1.8499999999999999</c:v>
              </c:pt>
              <c:pt idx="13">
                <c:v>2</c:v>
              </c:pt>
              <c:pt idx="14">
                <c:v>2.15</c:v>
              </c:pt>
              <c:pt idx="15">
                <c:v>2.2999999999999998</c:v>
              </c:pt>
              <c:pt idx="16">
                <c:v>2.4499999999999997</c:v>
              </c:pt>
              <c:pt idx="17">
                <c:v>2.5999999999999996</c:v>
              </c:pt>
              <c:pt idx="18">
                <c:v>2.7499999999999996</c:v>
              </c:pt>
              <c:pt idx="19">
                <c:v>2.9</c:v>
              </c:pt>
              <c:pt idx="20">
                <c:v>3.05</c:v>
              </c:pt>
              <c:pt idx="21">
                <c:v>3.1999999999999997</c:v>
              </c:pt>
              <c:pt idx="22">
                <c:v>3.3499999999999996</c:v>
              </c:pt>
              <c:pt idx="23">
                <c:v>3.4999999999999996</c:v>
              </c:pt>
              <c:pt idx="24">
                <c:v>3.6499999999999995</c:v>
              </c:pt>
              <c:pt idx="25">
                <c:v>3.8</c:v>
              </c:pt>
              <c:pt idx="26">
                <c:v>3.9499999999999997</c:v>
              </c:pt>
              <c:pt idx="27">
                <c:v>4.0999999999999996</c:v>
              </c:pt>
              <c:pt idx="28">
                <c:v>4.25</c:v>
              </c:pt>
              <c:pt idx="29">
                <c:v>4.3999999999999995</c:v>
              </c:pt>
              <c:pt idx="30">
                <c:v>4.55</c:v>
              </c:pt>
              <c:pt idx="31">
                <c:v>4.6999999999999993</c:v>
              </c:pt>
              <c:pt idx="32">
                <c:v>4.8499999999999996</c:v>
              </c:pt>
              <c:pt idx="33">
                <c:v>5</c:v>
              </c:pt>
              <c:pt idx="34">
                <c:v>5.1499999999999995</c:v>
              </c:pt>
              <c:pt idx="35">
                <c:v>5.3</c:v>
              </c:pt>
              <c:pt idx="36">
                <c:v>5.4499999999999993</c:v>
              </c:pt>
              <c:pt idx="37">
                <c:v>5.6</c:v>
              </c:pt>
              <c:pt idx="38">
                <c:v>5.75</c:v>
              </c:pt>
              <c:pt idx="39">
                <c:v>5.8999999999999995</c:v>
              </c:pt>
              <c:pt idx="40">
                <c:v>6.05</c:v>
              </c:pt>
              <c:pt idx="41">
                <c:v>6.1999999999999993</c:v>
              </c:pt>
              <c:pt idx="42">
                <c:v>6.35</c:v>
              </c:pt>
              <c:pt idx="43">
                <c:v>6.5</c:v>
              </c:pt>
              <c:pt idx="44">
                <c:v>6.6499999999999995</c:v>
              </c:pt>
              <c:pt idx="45">
                <c:v>6.8</c:v>
              </c:pt>
              <c:pt idx="46">
                <c:v>6.9499999999999993</c:v>
              </c:pt>
              <c:pt idx="47">
                <c:v>7.1</c:v>
              </c:pt>
              <c:pt idx="48">
                <c:v>7.2499999999999991</c:v>
              </c:pt>
              <c:pt idx="49">
                <c:v>7.3999999999999995</c:v>
              </c:pt>
              <c:pt idx="50">
                <c:v>7.55</c:v>
              </c:pt>
              <c:pt idx="51">
                <c:v>7.6999999999999993</c:v>
              </c:pt>
              <c:pt idx="52">
                <c:v>7.85</c:v>
              </c:pt>
              <c:pt idx="53">
                <c:v>7.9999999999999991</c:v>
              </c:pt>
              <c:pt idx="54">
                <c:v>8.15</c:v>
              </c:pt>
              <c:pt idx="55">
                <c:v>8.3000000000000007</c:v>
              </c:pt>
              <c:pt idx="56">
                <c:v>8.4500000000000011</c:v>
              </c:pt>
              <c:pt idx="57">
                <c:v>8.6</c:v>
              </c:pt>
              <c:pt idx="58">
                <c:v>8.75</c:v>
              </c:pt>
              <c:pt idx="59">
                <c:v>8.9</c:v>
              </c:pt>
              <c:pt idx="60">
                <c:v>9.0500000000000007</c:v>
              </c:pt>
              <c:pt idx="61">
                <c:v>9.2000000000000011</c:v>
              </c:pt>
              <c:pt idx="62">
                <c:v>9.35</c:v>
              </c:pt>
              <c:pt idx="63">
                <c:v>9.5</c:v>
              </c:pt>
              <c:pt idx="64">
                <c:v>9.65</c:v>
              </c:pt>
              <c:pt idx="65">
                <c:v>9.8000000000000007</c:v>
              </c:pt>
              <c:pt idx="66">
                <c:v>9.9500000000000011</c:v>
              </c:pt>
              <c:pt idx="67">
                <c:v>10.1</c:v>
              </c:pt>
              <c:pt idx="68">
                <c:v>10.25</c:v>
              </c:pt>
              <c:pt idx="69">
                <c:v>10.4</c:v>
              </c:pt>
              <c:pt idx="70">
                <c:v>10.55</c:v>
              </c:pt>
              <c:pt idx="71">
                <c:v>10.700000000000001</c:v>
              </c:pt>
              <c:pt idx="72">
                <c:v>10.85</c:v>
              </c:pt>
              <c:pt idx="73">
                <c:v>11</c:v>
              </c:pt>
              <c:pt idx="74">
                <c:v>11.15</c:v>
              </c:pt>
              <c:pt idx="75">
                <c:v>11.3</c:v>
              </c:pt>
              <c:pt idx="76">
                <c:v>11.450000000000001</c:v>
              </c:pt>
              <c:pt idx="77">
                <c:v>11.6</c:v>
              </c:pt>
              <c:pt idx="78">
                <c:v>11.75</c:v>
              </c:pt>
              <c:pt idx="79">
                <c:v>11.9</c:v>
              </c:pt>
              <c:pt idx="80">
                <c:v>12.05</c:v>
              </c:pt>
              <c:pt idx="81">
                <c:v>12.200000000000001</c:v>
              </c:pt>
              <c:pt idx="82">
                <c:v>12.35</c:v>
              </c:pt>
              <c:pt idx="83">
                <c:v>12.5</c:v>
              </c:pt>
            </c:numLit>
          </c:xVal>
          <c:yVal>
            <c:numLit>
              <c:formatCode>General</c:formatCode>
              <c:ptCount val="84"/>
              <c:pt idx="0">
                <c:v>2192107.8380878032</c:v>
              </c:pt>
              <c:pt idx="1">
                <c:v>2192107.8380878032</c:v>
              </c:pt>
              <c:pt idx="2">
                <c:v>2192107.8380878032</c:v>
              </c:pt>
              <c:pt idx="3">
                <c:v>2192107.8380878032</c:v>
              </c:pt>
              <c:pt idx="4">
                <c:v>2192107.8380878032</c:v>
              </c:pt>
              <c:pt idx="5">
                <c:v>2192107.8380878032</c:v>
              </c:pt>
              <c:pt idx="6">
                <c:v>2192107.8380878032</c:v>
              </c:pt>
              <c:pt idx="7">
                <c:v>2192107.8380878032</c:v>
              </c:pt>
              <c:pt idx="8">
                <c:v>2192107.8380878032</c:v>
              </c:pt>
              <c:pt idx="9">
                <c:v>10070081.56614287</c:v>
              </c:pt>
              <c:pt idx="10">
                <c:v>8707548.3725014422</c:v>
              </c:pt>
              <c:pt idx="11">
                <c:v>7389706.4677655399</c:v>
              </c:pt>
              <c:pt idx="12">
                <c:v>2528068.2451531445</c:v>
              </c:pt>
              <c:pt idx="13">
                <c:v>2438143.0269364449</c:v>
              </c:pt>
              <c:pt idx="14">
                <c:v>2350375.9567740094</c:v>
              </c:pt>
              <c:pt idx="15">
                <c:v>2264740.8219241397</c:v>
              </c:pt>
              <c:pt idx="16">
                <c:v>2181211.4096451565</c:v>
              </c:pt>
              <c:pt idx="17">
                <c:v>2099761.5071954266</c:v>
              </c:pt>
              <c:pt idx="18">
                <c:v>2020364.9018332041</c:v>
              </c:pt>
              <c:pt idx="19">
                <c:v>1942995.3808167891</c:v>
              </c:pt>
              <c:pt idx="20">
                <c:v>1867626.731404549</c:v>
              </c:pt>
              <c:pt idx="21">
                <c:v>1794232.7408547583</c:v>
              </c:pt>
              <c:pt idx="22">
                <c:v>1722787.196425762</c:v>
              </c:pt>
              <c:pt idx="23">
                <c:v>1653263.8853757824</c:v>
              </c:pt>
              <c:pt idx="24">
                <c:v>1585636.5949632316</c:v>
              </c:pt>
              <c:pt idx="25">
                <c:v>1519879.1124463726</c:v>
              </c:pt>
              <c:pt idx="26">
                <c:v>1455965.2250834859</c:v>
              </c:pt>
              <c:pt idx="27">
                <c:v>1393868.7201329002</c:v>
              </c:pt>
              <c:pt idx="28">
                <c:v>1333563.3848529418</c:v>
              </c:pt>
              <c:pt idx="29">
                <c:v>1275023.0065018942</c:v>
              </c:pt>
              <c:pt idx="30">
                <c:v>1218221.3723380393</c:v>
              </c:pt>
              <c:pt idx="31">
                <c:v>1163132.2696197338</c:v>
              </c:pt>
              <c:pt idx="32">
                <c:v>1109729.485605238</c:v>
              </c:pt>
              <c:pt idx="33">
                <c:v>3013535.0373614128</c:v>
              </c:pt>
              <c:pt idx="34">
                <c:v>2925235.7238257006</c:v>
              </c:pt>
              <c:pt idx="35">
                <c:v>1201077.5049405345</c:v>
              </c:pt>
              <c:pt idx="36">
                <c:v>1150129.1425862154</c:v>
              </c:pt>
              <c:pt idx="37">
                <c:v>1100642.3182909524</c:v>
              </c:pt>
              <c:pt idx="38">
                <c:v>1052595.7622975721</c:v>
              </c:pt>
              <c:pt idx="39">
                <c:v>1005968.2048489058</c:v>
              </c:pt>
              <c:pt idx="40">
                <c:v>960738.37618781801</c:v>
              </c:pt>
              <c:pt idx="41">
                <c:v>916885.00655715948</c:v>
              </c:pt>
              <c:pt idx="42">
                <c:v>874386.82619973365</c:v>
              </c:pt>
              <c:pt idx="43">
                <c:v>833222.56535843096</c:v>
              </c:pt>
              <c:pt idx="44">
                <c:v>793370.95427604381</c:v>
              </c:pt>
              <c:pt idx="45">
                <c:v>754810.72319546435</c:v>
              </c:pt>
              <c:pt idx="46">
                <c:v>717520.60235947883</c:v>
              </c:pt>
              <c:pt idx="47">
                <c:v>681479.32201095391</c:v>
              </c:pt>
              <c:pt idx="48">
                <c:v>646665.6123927054</c:v>
              </c:pt>
              <c:pt idx="49">
                <c:v>613058.20374758204</c:v>
              </c:pt>
              <c:pt idx="50">
                <c:v>580635.82631840475</c:v>
              </c:pt>
              <c:pt idx="51">
                <c:v>549377.21034800529</c:v>
              </c:pt>
              <c:pt idx="52">
                <c:v>519261.08607919113</c:v>
              </c:pt>
              <c:pt idx="53">
                <c:v>490266.18375481805</c:v>
              </c:pt>
              <c:pt idx="54">
                <c:v>462371.23361768719</c:v>
              </c:pt>
              <c:pt idx="55">
                <c:v>435554.96591061237</c:v>
              </c:pt>
              <c:pt idx="56">
                <c:v>1386946.4836298525</c:v>
              </c:pt>
              <c:pt idx="57">
                <c:v>1325748.6607954123</c:v>
              </c:pt>
              <c:pt idx="58">
                <c:v>485528.51967829798</c:v>
              </c:pt>
              <c:pt idx="59">
                <c:v>460089.51475932426</c:v>
              </c:pt>
              <c:pt idx="60">
                <c:v>435554.96591061208</c:v>
              </c:pt>
              <c:pt idx="61">
                <c:v>411908.50204372348</c:v>
              </c:pt>
              <c:pt idx="62">
                <c:v>389133.75207023398</c:v>
              </c:pt>
              <c:pt idx="63">
                <c:v>367214.34490171733</c:v>
              </c:pt>
              <c:pt idx="64">
                <c:v>346133.90944972518</c:v>
              </c:pt>
              <c:pt idx="65">
                <c:v>325876.07462581858</c:v>
              </c:pt>
              <c:pt idx="66">
                <c:v>306424.46934155427</c:v>
              </c:pt>
              <c:pt idx="67">
                <c:v>287762.72250848066</c:v>
              </c:pt>
              <c:pt idx="68">
                <c:v>269874.46303814813</c:v>
              </c:pt>
              <c:pt idx="69">
                <c:v>252743.31984209132</c:v>
              </c:pt>
              <c:pt idx="70">
                <c:v>236352.92183185244</c:v>
              </c:pt>
              <c:pt idx="71">
                <c:v>220686.89791895359</c:v>
              </c:pt>
              <c:pt idx="72">
                <c:v>205728.8770149177</c:v>
              </c:pt>
              <c:pt idx="73">
                <c:v>191462.48803125674</c:v>
              </c:pt>
              <c:pt idx="74">
                <c:v>177871.35987947811</c:v>
              </c:pt>
              <c:pt idx="75">
                <c:v>164939.12147106897</c:v>
              </c:pt>
              <c:pt idx="76">
                <c:v>152649.4017175145</c:v>
              </c:pt>
              <c:pt idx="77">
                <c:v>140985.82953028521</c:v>
              </c:pt>
              <c:pt idx="78">
                <c:v>129932.0338208352</c:v>
              </c:pt>
              <c:pt idx="79">
                <c:v>119471.64350059956</c:v>
              </c:pt>
              <c:pt idx="80">
                <c:v>109588.28748099861</c:v>
              </c:pt>
              <c:pt idx="81">
                <c:v>100265.59467342759</c:v>
              </c:pt>
              <c:pt idx="82">
                <c:v>91487.193989260049</c:v>
              </c:pt>
              <c:pt idx="83">
                <c:v>83236.71433983765</c:v>
              </c:pt>
            </c:numLit>
          </c:yVal>
          <c:smooth val="0"/>
          <c:extLst>
            <c:ext xmlns:c16="http://schemas.microsoft.com/office/drawing/2014/chart" uri="{C3380CC4-5D6E-409C-BE32-E72D297353CC}">
              <c16:uniqueId val="{00000000-5F4A-4115-A769-C8DB1EBA028C}"/>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max val="50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ねじれ定数 </a:t>
                </a:r>
                <a:r>
                  <a:rPr lang="en-US" altLang="ja-JP"/>
                  <a:t>[mm^4]</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ねじれ剛性分布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v>GJ</c:v>
          </c:tx>
          <c:spPr>
            <a:ln w="25400" cap="rnd">
              <a:noFill/>
              <a:round/>
            </a:ln>
            <a:effectLst/>
          </c:spPr>
          <c:marker>
            <c:symbol val="circle"/>
            <c:size val="5"/>
            <c:spPr>
              <a:solidFill>
                <a:schemeClr val="accent1"/>
              </a:solidFill>
              <a:ln w="9525">
                <a:solidFill>
                  <a:schemeClr val="accent1"/>
                </a:solidFill>
              </a:ln>
              <a:effectLst/>
            </c:spPr>
          </c:marker>
          <c:xVal>
            <c:numLit>
              <c:formatCode>General</c:formatCode>
              <c:ptCount val="84"/>
              <c:pt idx="0">
                <c:v>0</c:v>
              </c:pt>
              <c:pt idx="1">
                <c:v>0.2</c:v>
              </c:pt>
              <c:pt idx="2">
                <c:v>0.35</c:v>
              </c:pt>
              <c:pt idx="3">
                <c:v>0.49999999999999994</c:v>
              </c:pt>
              <c:pt idx="4">
                <c:v>0.65</c:v>
              </c:pt>
              <c:pt idx="5">
                <c:v>0.8</c:v>
              </c:pt>
              <c:pt idx="6">
                <c:v>0.95</c:v>
              </c:pt>
              <c:pt idx="7">
                <c:v>1.1000000000000001</c:v>
              </c:pt>
              <c:pt idx="8">
                <c:v>1.25</c:v>
              </c:pt>
              <c:pt idx="9">
                <c:v>1.4</c:v>
              </c:pt>
              <c:pt idx="10">
                <c:v>1.55</c:v>
              </c:pt>
              <c:pt idx="11">
                <c:v>1.7</c:v>
              </c:pt>
              <c:pt idx="12">
                <c:v>1.8499999999999999</c:v>
              </c:pt>
              <c:pt idx="13">
                <c:v>2</c:v>
              </c:pt>
              <c:pt idx="14">
                <c:v>2.15</c:v>
              </c:pt>
              <c:pt idx="15">
                <c:v>2.2999999999999998</c:v>
              </c:pt>
              <c:pt idx="16">
                <c:v>2.4499999999999997</c:v>
              </c:pt>
              <c:pt idx="17">
                <c:v>2.5999999999999996</c:v>
              </c:pt>
              <c:pt idx="18">
                <c:v>2.7499999999999996</c:v>
              </c:pt>
              <c:pt idx="19">
                <c:v>2.9</c:v>
              </c:pt>
              <c:pt idx="20">
                <c:v>3.05</c:v>
              </c:pt>
              <c:pt idx="21">
                <c:v>3.1999999999999997</c:v>
              </c:pt>
              <c:pt idx="22">
                <c:v>3.3499999999999996</c:v>
              </c:pt>
              <c:pt idx="23">
                <c:v>3.4999999999999996</c:v>
              </c:pt>
              <c:pt idx="24">
                <c:v>3.6499999999999995</c:v>
              </c:pt>
              <c:pt idx="25">
                <c:v>3.8</c:v>
              </c:pt>
              <c:pt idx="26">
                <c:v>3.9499999999999997</c:v>
              </c:pt>
              <c:pt idx="27">
                <c:v>4.0999999999999996</c:v>
              </c:pt>
              <c:pt idx="28">
                <c:v>4.25</c:v>
              </c:pt>
              <c:pt idx="29">
                <c:v>4.3999999999999995</c:v>
              </c:pt>
              <c:pt idx="30">
                <c:v>4.55</c:v>
              </c:pt>
              <c:pt idx="31">
                <c:v>4.6999999999999993</c:v>
              </c:pt>
              <c:pt idx="32">
                <c:v>4.8499999999999996</c:v>
              </c:pt>
              <c:pt idx="33">
                <c:v>5</c:v>
              </c:pt>
              <c:pt idx="34">
                <c:v>5.1499999999999995</c:v>
              </c:pt>
              <c:pt idx="35">
                <c:v>5.3</c:v>
              </c:pt>
              <c:pt idx="36">
                <c:v>5.4499999999999993</c:v>
              </c:pt>
              <c:pt idx="37">
                <c:v>5.6</c:v>
              </c:pt>
              <c:pt idx="38">
                <c:v>5.75</c:v>
              </c:pt>
              <c:pt idx="39">
                <c:v>5.8999999999999995</c:v>
              </c:pt>
              <c:pt idx="40">
                <c:v>6.05</c:v>
              </c:pt>
              <c:pt idx="41">
                <c:v>6.1999999999999993</c:v>
              </c:pt>
              <c:pt idx="42">
                <c:v>6.35</c:v>
              </c:pt>
              <c:pt idx="43">
                <c:v>6.5</c:v>
              </c:pt>
              <c:pt idx="44">
                <c:v>6.6499999999999995</c:v>
              </c:pt>
              <c:pt idx="45">
                <c:v>6.8</c:v>
              </c:pt>
              <c:pt idx="46">
                <c:v>6.9499999999999993</c:v>
              </c:pt>
              <c:pt idx="47">
                <c:v>7.1</c:v>
              </c:pt>
              <c:pt idx="48">
                <c:v>7.2499999999999991</c:v>
              </c:pt>
              <c:pt idx="49">
                <c:v>7.3999999999999995</c:v>
              </c:pt>
              <c:pt idx="50">
                <c:v>7.55</c:v>
              </c:pt>
              <c:pt idx="51">
                <c:v>7.6999999999999993</c:v>
              </c:pt>
              <c:pt idx="52">
                <c:v>7.85</c:v>
              </c:pt>
              <c:pt idx="53">
                <c:v>7.9999999999999991</c:v>
              </c:pt>
              <c:pt idx="54">
                <c:v>8.15</c:v>
              </c:pt>
              <c:pt idx="55">
                <c:v>8.3000000000000007</c:v>
              </c:pt>
              <c:pt idx="56">
                <c:v>8.4500000000000011</c:v>
              </c:pt>
              <c:pt idx="57">
                <c:v>8.6</c:v>
              </c:pt>
              <c:pt idx="58">
                <c:v>8.75</c:v>
              </c:pt>
              <c:pt idx="59">
                <c:v>8.9</c:v>
              </c:pt>
              <c:pt idx="60">
                <c:v>9.0500000000000007</c:v>
              </c:pt>
              <c:pt idx="61">
                <c:v>9.2000000000000011</c:v>
              </c:pt>
              <c:pt idx="62">
                <c:v>9.35</c:v>
              </c:pt>
              <c:pt idx="63">
                <c:v>9.5</c:v>
              </c:pt>
              <c:pt idx="64">
                <c:v>9.65</c:v>
              </c:pt>
              <c:pt idx="65">
                <c:v>9.8000000000000007</c:v>
              </c:pt>
              <c:pt idx="66">
                <c:v>9.9500000000000011</c:v>
              </c:pt>
              <c:pt idx="67">
                <c:v>10.1</c:v>
              </c:pt>
              <c:pt idx="68">
                <c:v>10.25</c:v>
              </c:pt>
              <c:pt idx="69">
                <c:v>10.4</c:v>
              </c:pt>
              <c:pt idx="70">
                <c:v>10.55</c:v>
              </c:pt>
              <c:pt idx="71">
                <c:v>10.700000000000001</c:v>
              </c:pt>
              <c:pt idx="72">
                <c:v>10.85</c:v>
              </c:pt>
              <c:pt idx="73">
                <c:v>11</c:v>
              </c:pt>
              <c:pt idx="74">
                <c:v>11.15</c:v>
              </c:pt>
              <c:pt idx="75">
                <c:v>11.3</c:v>
              </c:pt>
              <c:pt idx="76">
                <c:v>11.450000000000001</c:v>
              </c:pt>
              <c:pt idx="77">
                <c:v>11.6</c:v>
              </c:pt>
              <c:pt idx="78">
                <c:v>11.75</c:v>
              </c:pt>
              <c:pt idx="79">
                <c:v>11.9</c:v>
              </c:pt>
              <c:pt idx="80">
                <c:v>12.05</c:v>
              </c:pt>
              <c:pt idx="81">
                <c:v>12.200000000000001</c:v>
              </c:pt>
              <c:pt idx="82">
                <c:v>12.35</c:v>
              </c:pt>
              <c:pt idx="83">
                <c:v>12.5</c:v>
              </c:pt>
            </c:numLit>
          </c:xVal>
          <c:yVal>
            <c:numLit>
              <c:formatCode>General</c:formatCode>
              <c:ptCount val="84"/>
              <c:pt idx="0">
                <c:v>37646.685163030328</c:v>
              </c:pt>
              <c:pt idx="1">
                <c:v>37646.685163030328</c:v>
              </c:pt>
              <c:pt idx="2">
                <c:v>37646.685163030328</c:v>
              </c:pt>
              <c:pt idx="3">
                <c:v>37646.685163030328</c:v>
              </c:pt>
              <c:pt idx="4">
                <c:v>37646.685163030328</c:v>
              </c:pt>
              <c:pt idx="5">
                <c:v>37646.685163030328</c:v>
              </c:pt>
              <c:pt idx="6">
                <c:v>37646.685163030328</c:v>
              </c:pt>
              <c:pt idx="7">
                <c:v>37646.685163030328</c:v>
              </c:pt>
              <c:pt idx="8">
                <c:v>37646.685163030328</c:v>
              </c:pt>
              <c:pt idx="9">
                <c:v>159050.3532205135</c:v>
              </c:pt>
              <c:pt idx="10">
                <c:v>137530.03242669196</c:v>
              </c:pt>
              <c:pt idx="11">
                <c:v>116715.58131621068</c:v>
              </c:pt>
              <c:pt idx="12">
                <c:v>36441.988417683358</c:v>
              </c:pt>
              <c:pt idx="13">
                <c:v>35145.720499681767</c:v>
              </c:pt>
              <c:pt idx="14">
                <c:v>33880.56218742278</c:v>
              </c:pt>
              <c:pt idx="15">
                <c:v>32646.135625430725</c:v>
              </c:pt>
              <c:pt idx="16">
                <c:v>31442.062958230155</c:v>
              </c:pt>
              <c:pt idx="17">
                <c:v>30267.966330346328</c:v>
              </c:pt>
              <c:pt idx="18">
                <c:v>29123.467886302853</c:v>
              </c:pt>
              <c:pt idx="19">
                <c:v>28008.189770624016</c:v>
              </c:pt>
              <c:pt idx="20">
                <c:v>26921.754127835062</c:v>
              </c:pt>
              <c:pt idx="21">
                <c:v>25863.783102459911</c:v>
              </c:pt>
              <c:pt idx="22">
                <c:v>24833.898839023484</c:v>
              </c:pt>
              <c:pt idx="23">
                <c:v>23831.723482048943</c:v>
              </c:pt>
              <c:pt idx="24">
                <c:v>22856.879176062183</c:v>
              </c:pt>
              <c:pt idx="25">
                <c:v>21908.988065586949</c:v>
              </c:pt>
              <c:pt idx="26">
                <c:v>20987.672295147237</c:v>
              </c:pt>
              <c:pt idx="27">
                <c:v>20092.554009267744</c:v>
              </c:pt>
              <c:pt idx="28">
                <c:v>19223.255352473127</c:v>
              </c:pt>
              <c:pt idx="29">
                <c:v>18379.398469287422</c:v>
              </c:pt>
              <c:pt idx="30">
                <c:v>17560.605504234656</c:v>
              </c:pt>
              <c:pt idx="31">
                <c:v>16766.498601839921</c:v>
              </c:pt>
              <c:pt idx="32">
                <c:v>15996.699906626924</c:v>
              </c:pt>
              <c:pt idx="33">
                <c:v>43439.970079270941</c:v>
              </c:pt>
              <c:pt idx="34">
                <c:v>42167.139503068327</c:v>
              </c:pt>
              <c:pt idx="35">
                <c:v>17313.477437841684</c:v>
              </c:pt>
              <c:pt idx="36">
                <c:v>16579.059118883859</c:v>
              </c:pt>
              <c:pt idx="37">
                <c:v>15865.708804368651</c:v>
              </c:pt>
              <c:pt idx="38">
                <c:v>15173.119891716782</c:v>
              </c:pt>
              <c:pt idx="39">
                <c:v>14500.985778349035</c:v>
              </c:pt>
              <c:pt idx="40">
                <c:v>13848.99986168668</c:v>
              </c:pt>
              <c:pt idx="41">
                <c:v>13216.855539150783</c:v>
              </c:pt>
              <c:pt idx="42">
                <c:v>12604.246208161734</c:v>
              </c:pt>
              <c:pt idx="43">
                <c:v>12010.865266141167</c:v>
              </c:pt>
              <c:pt idx="44">
                <c:v>11436.406110509315</c:v>
              </c:pt>
              <c:pt idx="45">
                <c:v>10880.562138687841</c:v>
              </c:pt>
              <c:pt idx="46">
                <c:v>10343.026748096881</c:v>
              </c:pt>
              <c:pt idx="47">
                <c:v>9823.4933361577332</c:v>
              </c:pt>
              <c:pt idx="48">
                <c:v>9321.6553002909659</c:v>
              </c:pt>
              <c:pt idx="49">
                <c:v>8837.2060379176128</c:v>
              </c:pt>
              <c:pt idx="50">
                <c:v>8369.8389464583142</c:v>
              </c:pt>
              <c:pt idx="51">
                <c:v>7919.2474233338644</c:v>
              </c:pt>
              <c:pt idx="52">
                <c:v>7485.124865964709</c:v>
              </c:pt>
              <c:pt idx="53">
                <c:v>7067.1646717719859</c:v>
              </c:pt>
              <c:pt idx="54">
                <c:v>6665.06023817605</c:v>
              </c:pt>
              <c:pt idx="55">
                <c:v>6278.5049625974361</c:v>
              </c:pt>
              <c:pt idx="56">
                <c:v>18638.553002943947</c:v>
              </c:pt>
              <c:pt idx="57">
                <c:v>17816.142853722286</c:v>
              </c:pt>
              <c:pt idx="58">
                <c:v>6050.729451213404</c:v>
              </c:pt>
              <c:pt idx="59">
                <c:v>5733.7047450750606</c:v>
              </c:pt>
              <c:pt idx="60">
                <c:v>5427.9515065433716</c:v>
              </c:pt>
              <c:pt idx="61">
                <c:v>5133.2657166514873</c:v>
              </c:pt>
              <c:pt idx="62">
                <c:v>4849.4433564327292</c:v>
              </c:pt>
              <c:pt idx="63">
                <c:v>4576.280406920393</c:v>
              </c:pt>
              <c:pt idx="64">
                <c:v>4313.5728491475038</c:v>
              </c:pt>
              <c:pt idx="65">
                <c:v>4061.1166641471996</c:v>
              </c:pt>
              <c:pt idx="66">
                <c:v>3818.7078329525671</c:v>
              </c:pt>
              <c:pt idx="67">
                <c:v>3586.1423365965884</c:v>
              </c:pt>
              <c:pt idx="68">
                <c:v>3363.2161561122698</c:v>
              </c:pt>
              <c:pt idx="69">
                <c:v>3149.7252725324229</c:v>
              </c:pt>
              <c:pt idx="70">
                <c:v>2945.4656668899515</c:v>
              </c:pt>
              <c:pt idx="71">
                <c:v>2750.2333202175109</c:v>
              </c:pt>
              <c:pt idx="72">
                <c:v>2563.8242135477649</c:v>
              </c:pt>
              <c:pt idx="73">
                <c:v>2386.0343279132421</c:v>
              </c:pt>
              <c:pt idx="74">
                <c:v>2216.6596443464127</c:v>
              </c:pt>
              <c:pt idx="75">
                <c:v>2055.4961438794971</c:v>
              </c:pt>
              <c:pt idx="76">
                <c:v>1902.3398075446885</c:v>
              </c:pt>
              <c:pt idx="77">
                <c:v>1756.9866163739985</c:v>
              </c:pt>
              <c:pt idx="78">
                <c:v>1619.2325513992339</c:v>
              </c:pt>
              <c:pt idx="79">
                <c:v>1488.8735936519647</c:v>
              </c:pt>
              <c:pt idx="80">
                <c:v>1365.7057241635769</c:v>
              </c:pt>
              <c:pt idx="81">
                <c:v>1249.5249239651437</c:v>
              </c:pt>
              <c:pt idx="82">
                <c:v>1140.1271740874686</c:v>
              </c:pt>
              <c:pt idx="83">
                <c:v>1037.3084555609564</c:v>
              </c:pt>
            </c:numLit>
          </c:yVal>
          <c:smooth val="0"/>
          <c:extLst>
            <c:ext xmlns:c16="http://schemas.microsoft.com/office/drawing/2014/chart" uri="{C3380CC4-5D6E-409C-BE32-E72D297353CC}">
              <c16:uniqueId val="{00000000-C801-40A6-9C1E-1445785B062B}"/>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ねじれ剛性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en-US" alt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翼型設計!$O$11</c:f>
              <c:strCache>
                <c:ptCount val="1"/>
                <c:pt idx="0">
                  <c:v>y</c:v>
                </c:pt>
              </c:strCache>
            </c:strRef>
          </c:tx>
          <c:spPr>
            <a:ln w="38100" cap="rnd">
              <a:noFill/>
              <a:round/>
            </a:ln>
            <a:effectLst/>
          </c:spPr>
          <c:marker>
            <c:symbol val="circle"/>
            <c:size val="5"/>
            <c:spPr>
              <a:solidFill>
                <a:schemeClr val="accent1"/>
              </a:solidFill>
              <a:ln w="9525">
                <a:solidFill>
                  <a:schemeClr val="accent1"/>
                </a:solidFill>
              </a:ln>
              <a:effectLst/>
            </c:spPr>
          </c:marker>
          <c:xVal>
            <c:numRef>
              <c:f>翼型設計!$N$12:$N$335</c:f>
              <c:numCache>
                <c:formatCode>General</c:formatCode>
                <c:ptCount val="324"/>
                <c:pt idx="0">
                  <c:v>0.99979459999999998</c:v>
                </c:pt>
                <c:pt idx="1">
                  <c:v>0.99750419999999995</c:v>
                </c:pt>
                <c:pt idx="2">
                  <c:v>0.99483750000000004</c:v>
                </c:pt>
                <c:pt idx="3">
                  <c:v>0.99179340000000005</c:v>
                </c:pt>
                <c:pt idx="4">
                  <c:v>0.98845899999999998</c:v>
                </c:pt>
                <c:pt idx="5">
                  <c:v>0.98484450000000001</c:v>
                </c:pt>
                <c:pt idx="6">
                  <c:v>0.98087630000000003</c:v>
                </c:pt>
                <c:pt idx="7">
                  <c:v>0.97655780000000003</c:v>
                </c:pt>
                <c:pt idx="8">
                  <c:v>0.97197100000000003</c:v>
                </c:pt>
                <c:pt idx="9">
                  <c:v>0.96711970000000003</c:v>
                </c:pt>
                <c:pt idx="10">
                  <c:v>0.96193300000000004</c:v>
                </c:pt>
                <c:pt idx="11">
                  <c:v>0.95641880000000001</c:v>
                </c:pt>
                <c:pt idx="12">
                  <c:v>0.95065619999999995</c:v>
                </c:pt>
                <c:pt idx="13">
                  <c:v>0.9446447</c:v>
                </c:pt>
                <c:pt idx="14">
                  <c:v>0.93831739999999997</c:v>
                </c:pt>
                <c:pt idx="15">
                  <c:v>0.93168759999999995</c:v>
                </c:pt>
                <c:pt idx="16">
                  <c:v>0.92483139999999997</c:v>
                </c:pt>
                <c:pt idx="17">
                  <c:v>0.91774359999999999</c:v>
                </c:pt>
                <c:pt idx="18">
                  <c:v>0.91035779999999999</c:v>
                </c:pt>
                <c:pt idx="19">
                  <c:v>0.90268919999999997</c:v>
                </c:pt>
                <c:pt idx="20">
                  <c:v>0.89481010000000005</c:v>
                </c:pt>
                <c:pt idx="21">
                  <c:v>0.88671199999999994</c:v>
                </c:pt>
                <c:pt idx="22">
                  <c:v>0.87833280000000002</c:v>
                </c:pt>
                <c:pt idx="23">
                  <c:v>0.86969379999999996</c:v>
                </c:pt>
                <c:pt idx="24">
                  <c:v>0.86086629999999997</c:v>
                </c:pt>
                <c:pt idx="25">
                  <c:v>0.85183960000000003</c:v>
                </c:pt>
                <c:pt idx="26">
                  <c:v>0.84256019999999998</c:v>
                </c:pt>
                <c:pt idx="27">
                  <c:v>0.83306290000000005</c:v>
                </c:pt>
                <c:pt idx="28">
                  <c:v>0.82342939999999998</c:v>
                </c:pt>
                <c:pt idx="29">
                  <c:v>0.81365730000000003</c:v>
                </c:pt>
                <c:pt idx="30">
                  <c:v>0.80370050000000004</c:v>
                </c:pt>
                <c:pt idx="31">
                  <c:v>0.79359639999999998</c:v>
                </c:pt>
                <c:pt idx="32">
                  <c:v>0.78341890000000003</c:v>
                </c:pt>
                <c:pt idx="33">
                  <c:v>0.77315929999999999</c:v>
                </c:pt>
                <c:pt idx="34">
                  <c:v>0.76277499999999998</c:v>
                </c:pt>
                <c:pt idx="35">
                  <c:v>0.75230339999999996</c:v>
                </c:pt>
                <c:pt idx="36">
                  <c:v>0.74180959999999996</c:v>
                </c:pt>
                <c:pt idx="37">
                  <c:v>0.73127850000000005</c:v>
                </c:pt>
                <c:pt idx="38">
                  <c:v>0.72066830000000004</c:v>
                </c:pt>
                <c:pt idx="39">
                  <c:v>0.71001340000000002</c:v>
                </c:pt>
                <c:pt idx="40">
                  <c:v>0.69936940000000003</c:v>
                </c:pt>
                <c:pt idx="41">
                  <c:v>0.68871550000000004</c:v>
                </c:pt>
                <c:pt idx="42">
                  <c:v>0.67800990000000005</c:v>
                </c:pt>
                <c:pt idx="43">
                  <c:v>0.66728220000000005</c:v>
                </c:pt>
                <c:pt idx="44">
                  <c:v>0.6565782</c:v>
                </c:pt>
                <c:pt idx="45">
                  <c:v>0.64587260000000002</c:v>
                </c:pt>
                <c:pt idx="46">
                  <c:v>0.6351234</c:v>
                </c:pt>
                <c:pt idx="47">
                  <c:v>0.62435600000000002</c:v>
                </c:pt>
                <c:pt idx="48">
                  <c:v>0.61361010000000005</c:v>
                </c:pt>
                <c:pt idx="49">
                  <c:v>0.60285900000000003</c:v>
                </c:pt>
                <c:pt idx="50">
                  <c:v>0.59206349999999996</c:v>
                </c:pt>
                <c:pt idx="51">
                  <c:v>0.58124790000000004</c:v>
                </c:pt>
                <c:pt idx="52">
                  <c:v>0.57044910000000004</c:v>
                </c:pt>
                <c:pt idx="53">
                  <c:v>0.5596428</c:v>
                </c:pt>
                <c:pt idx="54">
                  <c:v>0.54879370000000005</c:v>
                </c:pt>
                <c:pt idx="55">
                  <c:v>0.53792689999999999</c:v>
                </c:pt>
                <c:pt idx="56">
                  <c:v>0.52707899999999996</c:v>
                </c:pt>
                <c:pt idx="57">
                  <c:v>0.51622800000000002</c:v>
                </c:pt>
                <c:pt idx="58">
                  <c:v>0.50534250000000003</c:v>
                </c:pt>
                <c:pt idx="59">
                  <c:v>0.49444909999999997</c:v>
                </c:pt>
                <c:pt idx="60">
                  <c:v>0.48358299999999999</c:v>
                </c:pt>
                <c:pt idx="61">
                  <c:v>0.4727248</c:v>
                </c:pt>
                <c:pt idx="62">
                  <c:v>0.46184639999999999</c:v>
                </c:pt>
                <c:pt idx="63">
                  <c:v>0.45097579999999998</c:v>
                </c:pt>
                <c:pt idx="64">
                  <c:v>0.4401485</c:v>
                </c:pt>
                <c:pt idx="65">
                  <c:v>0.42934820000000001</c:v>
                </c:pt>
                <c:pt idx="66">
                  <c:v>0.4185508</c:v>
                </c:pt>
                <c:pt idx="67">
                  <c:v>0.40778409999999998</c:v>
                </c:pt>
                <c:pt idx="68">
                  <c:v>0.39708209999999999</c:v>
                </c:pt>
                <c:pt idx="69">
                  <c:v>0.38642779999999999</c:v>
                </c:pt>
                <c:pt idx="70">
                  <c:v>0.3757993</c:v>
                </c:pt>
                <c:pt idx="71">
                  <c:v>0.36522379999999999</c:v>
                </c:pt>
                <c:pt idx="72">
                  <c:v>0.35473270000000001</c:v>
                </c:pt>
                <c:pt idx="73">
                  <c:v>0.34430929999999998</c:v>
                </c:pt>
                <c:pt idx="74">
                  <c:v>0.33393349999999999</c:v>
                </c:pt>
                <c:pt idx="75">
                  <c:v>0.32363180000000003</c:v>
                </c:pt>
                <c:pt idx="76">
                  <c:v>0.31343330000000003</c:v>
                </c:pt>
                <c:pt idx="77">
                  <c:v>0.30332189999999998</c:v>
                </c:pt>
                <c:pt idx="78">
                  <c:v>0.29327930000000002</c:v>
                </c:pt>
                <c:pt idx="79">
                  <c:v>0.28333120000000001</c:v>
                </c:pt>
                <c:pt idx="80">
                  <c:v>0.27350459999999999</c:v>
                </c:pt>
                <c:pt idx="81">
                  <c:v>0.26378370000000001</c:v>
                </c:pt>
                <c:pt idx="82">
                  <c:v>0.2541523</c:v>
                </c:pt>
                <c:pt idx="83">
                  <c:v>0.2446353</c:v>
                </c:pt>
                <c:pt idx="84">
                  <c:v>0.23525769999999999</c:v>
                </c:pt>
                <c:pt idx="85">
                  <c:v>0.2260045</c:v>
                </c:pt>
                <c:pt idx="86">
                  <c:v>0.21686140000000001</c:v>
                </c:pt>
                <c:pt idx="87">
                  <c:v>0.2078527</c:v>
                </c:pt>
                <c:pt idx="88">
                  <c:v>0.19900180000000001</c:v>
                </c:pt>
                <c:pt idx="89">
                  <c:v>0.19029460000000001</c:v>
                </c:pt>
                <c:pt idx="90">
                  <c:v>0.1817192</c:v>
                </c:pt>
                <c:pt idx="91">
                  <c:v>0.17330000000000001</c:v>
                </c:pt>
                <c:pt idx="92">
                  <c:v>0.16505909999999999</c:v>
                </c:pt>
                <c:pt idx="93">
                  <c:v>0.15698419999999999</c:v>
                </c:pt>
                <c:pt idx="94">
                  <c:v>0.14906549999999999</c:v>
                </c:pt>
                <c:pt idx="95">
                  <c:v>0.1413259</c:v>
                </c:pt>
                <c:pt idx="96">
                  <c:v>0.13378290000000001</c:v>
                </c:pt>
                <c:pt idx="97">
                  <c:v>0.12642220000000001</c:v>
                </c:pt>
                <c:pt idx="98">
                  <c:v>0.119232</c:v>
                </c:pt>
                <c:pt idx="99">
                  <c:v>0.1122297</c:v>
                </c:pt>
                <c:pt idx="100">
                  <c:v>0.1054278</c:v>
                </c:pt>
                <c:pt idx="101">
                  <c:v>9.8809599999999997E-2</c:v>
                </c:pt>
                <c:pt idx="102">
                  <c:v>9.2363200000000006E-2</c:v>
                </c:pt>
                <c:pt idx="103">
                  <c:v>8.6104600000000003E-2</c:v>
                </c:pt>
                <c:pt idx="104">
                  <c:v>8.0044699999999996E-2</c:v>
                </c:pt>
                <c:pt idx="105">
                  <c:v>7.4169499999999999E-2</c:v>
                </c:pt>
                <c:pt idx="106">
                  <c:v>6.8471400000000002E-2</c:v>
                </c:pt>
                <c:pt idx="107">
                  <c:v>6.2968899999999994E-2</c:v>
                </c:pt>
                <c:pt idx="108">
                  <c:v>5.7675700000000003E-2</c:v>
                </c:pt>
                <c:pt idx="109">
                  <c:v>5.2582499999999997E-2</c:v>
                </c:pt>
                <c:pt idx="110">
                  <c:v>4.7687800000000002E-2</c:v>
                </c:pt>
                <c:pt idx="111">
                  <c:v>4.3015699999999997E-2</c:v>
                </c:pt>
                <c:pt idx="112">
                  <c:v>3.8587000000000003E-2</c:v>
                </c:pt>
                <c:pt idx="113">
                  <c:v>3.4399100000000002E-2</c:v>
                </c:pt>
                <c:pt idx="114">
                  <c:v>3.04438E-2</c:v>
                </c:pt>
                <c:pt idx="115">
                  <c:v>2.6717299999999999E-2</c:v>
                </c:pt>
                <c:pt idx="116">
                  <c:v>2.3208300000000001E-2</c:v>
                </c:pt>
                <c:pt idx="117">
                  <c:v>1.9908100000000001E-2</c:v>
                </c:pt>
                <c:pt idx="118">
                  <c:v>1.68372E-2</c:v>
                </c:pt>
                <c:pt idx="119">
                  <c:v>1.4026500000000001E-2</c:v>
                </c:pt>
                <c:pt idx="120">
                  <c:v>1.1471200000000001E-2</c:v>
                </c:pt>
                <c:pt idx="121">
                  <c:v>9.1374000000000004E-3</c:v>
                </c:pt>
                <c:pt idx="122">
                  <c:v>7.0238999999999996E-3</c:v>
                </c:pt>
                <c:pt idx="123">
                  <c:v>5.1802999999999997E-3</c:v>
                </c:pt>
                <c:pt idx="124">
                  <c:v>3.6470000000000001E-3</c:v>
                </c:pt>
                <c:pt idx="125">
                  <c:v>2.4126999999999998E-3</c:v>
                </c:pt>
                <c:pt idx="126">
                  <c:v>1.4434000000000001E-3</c:v>
                </c:pt>
                <c:pt idx="127">
                  <c:v>7.2159999999999998E-4</c:v>
                </c:pt>
                <c:pt idx="128">
                  <c:v>2.4469999999999998E-4</c:v>
                </c:pt>
                <c:pt idx="129">
                  <c:v>4.5000000000000001E-6</c:v>
                </c:pt>
                <c:pt idx="130">
                  <c:v>0</c:v>
                </c:pt>
                <c:pt idx="131">
                  <c:v>2.6160000000000002E-4</c:v>
                </c:pt>
                <c:pt idx="132">
                  <c:v>8.4159999999999997E-4</c:v>
                </c:pt>
                <c:pt idx="133">
                  <c:v>1.7786E-3</c:v>
                </c:pt>
                <c:pt idx="134">
                  <c:v>3.0745999999999998E-3</c:v>
                </c:pt>
                <c:pt idx="135">
                  <c:v>4.7004000000000004E-3</c:v>
                </c:pt>
                <c:pt idx="136">
                  <c:v>6.6302000000000002E-3</c:v>
                </c:pt>
                <c:pt idx="137">
                  <c:v>8.8643999999999997E-3</c:v>
                </c:pt>
                <c:pt idx="138">
                  <c:v>1.1411299999999999E-2</c:v>
                </c:pt>
                <c:pt idx="139">
                  <c:v>1.42647E-2</c:v>
                </c:pt>
                <c:pt idx="140">
                  <c:v>1.7417100000000001E-2</c:v>
                </c:pt>
                <c:pt idx="141">
                  <c:v>2.08764E-2</c:v>
                </c:pt>
                <c:pt idx="142">
                  <c:v>2.4648099999999999E-2</c:v>
                </c:pt>
                <c:pt idx="143">
                  <c:v>2.8718500000000001E-2</c:v>
                </c:pt>
                <c:pt idx="144">
                  <c:v>3.30745E-2</c:v>
                </c:pt>
                <c:pt idx="145">
                  <c:v>3.7722600000000002E-2</c:v>
                </c:pt>
                <c:pt idx="146">
                  <c:v>4.2667499999999997E-2</c:v>
                </c:pt>
                <c:pt idx="147">
                  <c:v>4.7893499999999999E-2</c:v>
                </c:pt>
                <c:pt idx="148">
                  <c:v>5.3389899999999997E-2</c:v>
                </c:pt>
                <c:pt idx="149">
                  <c:v>5.9167900000000002E-2</c:v>
                </c:pt>
                <c:pt idx="150">
                  <c:v>6.5231399999999995E-2</c:v>
                </c:pt>
                <c:pt idx="151">
                  <c:v>7.1561299999999994E-2</c:v>
                </c:pt>
                <c:pt idx="152">
                  <c:v>7.8146499999999994E-2</c:v>
                </c:pt>
                <c:pt idx="153">
                  <c:v>8.5000199999999998E-2</c:v>
                </c:pt>
                <c:pt idx="154">
                  <c:v>9.2125200000000004E-2</c:v>
                </c:pt>
                <c:pt idx="155">
                  <c:v>9.9498600000000006E-2</c:v>
                </c:pt>
                <c:pt idx="156">
                  <c:v>0.1071111</c:v>
                </c:pt>
                <c:pt idx="157">
                  <c:v>0.11498079999999999</c:v>
                </c:pt>
                <c:pt idx="158">
                  <c:v>0.1231109</c:v>
                </c:pt>
                <c:pt idx="159">
                  <c:v>0.13147690000000001</c:v>
                </c:pt>
                <c:pt idx="160">
                  <c:v>0.14007159999999999</c:v>
                </c:pt>
                <c:pt idx="161">
                  <c:v>0.1489154</c:v>
                </c:pt>
                <c:pt idx="162">
                  <c:v>0.15800610000000001</c:v>
                </c:pt>
                <c:pt idx="163">
                  <c:v>0.16730909999999999</c:v>
                </c:pt>
                <c:pt idx="164">
                  <c:v>0.17681340000000001</c:v>
                </c:pt>
                <c:pt idx="165">
                  <c:v>0.18654190000000001</c:v>
                </c:pt>
                <c:pt idx="166">
                  <c:v>0.19649330000000001</c:v>
                </c:pt>
                <c:pt idx="167">
                  <c:v>0.2066318</c:v>
                </c:pt>
                <c:pt idx="168">
                  <c:v>0.21694849999999999</c:v>
                </c:pt>
                <c:pt idx="169">
                  <c:v>0.22746959999999999</c:v>
                </c:pt>
                <c:pt idx="170">
                  <c:v>0.23819100000000001</c:v>
                </c:pt>
                <c:pt idx="171">
                  <c:v>0.24907360000000001</c:v>
                </c:pt>
                <c:pt idx="172">
                  <c:v>0.26011050000000002</c:v>
                </c:pt>
                <c:pt idx="173">
                  <c:v>0.27133079999999998</c:v>
                </c:pt>
                <c:pt idx="174">
                  <c:v>0.28272890000000001</c:v>
                </c:pt>
                <c:pt idx="175">
                  <c:v>0.29426219999999997</c:v>
                </c:pt>
                <c:pt idx="176">
                  <c:v>0.3059268</c:v>
                </c:pt>
                <c:pt idx="177">
                  <c:v>0.31775579999999998</c:v>
                </c:pt>
                <c:pt idx="178">
                  <c:v>0.32974150000000002</c:v>
                </c:pt>
                <c:pt idx="179">
                  <c:v>0.3418388</c:v>
                </c:pt>
                <c:pt idx="180">
                  <c:v>0.35404600000000003</c:v>
                </c:pt>
                <c:pt idx="181">
                  <c:v>0.36639729999999998</c:v>
                </c:pt>
                <c:pt idx="182">
                  <c:v>0.37887959999999998</c:v>
                </c:pt>
                <c:pt idx="183">
                  <c:v>0.3914417</c:v>
                </c:pt>
                <c:pt idx="184">
                  <c:v>0.40408169999999999</c:v>
                </c:pt>
                <c:pt idx="185">
                  <c:v>0.41683409999999999</c:v>
                </c:pt>
                <c:pt idx="186">
                  <c:v>0.42968050000000002</c:v>
                </c:pt>
                <c:pt idx="187">
                  <c:v>0.44256519999999999</c:v>
                </c:pt>
                <c:pt idx="188">
                  <c:v>0.45548860000000002</c:v>
                </c:pt>
                <c:pt idx="189">
                  <c:v>0.46848719999999999</c:v>
                </c:pt>
                <c:pt idx="190">
                  <c:v>0.48153849999999998</c:v>
                </c:pt>
                <c:pt idx="191">
                  <c:v>0.49458570000000002</c:v>
                </c:pt>
                <c:pt idx="192">
                  <c:v>0.50763550000000002</c:v>
                </c:pt>
                <c:pt idx="193">
                  <c:v>0.52072879999999999</c:v>
                </c:pt>
                <c:pt idx="194">
                  <c:v>0.53384030000000005</c:v>
                </c:pt>
                <c:pt idx="195">
                  <c:v>0.54691160000000005</c:v>
                </c:pt>
                <c:pt idx="196">
                  <c:v>0.55995280000000003</c:v>
                </c:pt>
                <c:pt idx="197">
                  <c:v>0.57300609999999996</c:v>
                </c:pt>
                <c:pt idx="198">
                  <c:v>0.58604149999999999</c:v>
                </c:pt>
                <c:pt idx="199">
                  <c:v>0.59899899999999995</c:v>
                </c:pt>
                <c:pt idx="200">
                  <c:v>0.61189300000000002</c:v>
                </c:pt>
                <c:pt idx="201">
                  <c:v>0.6247665</c:v>
                </c:pt>
                <c:pt idx="202">
                  <c:v>0.63758510000000002</c:v>
                </c:pt>
                <c:pt idx="203">
                  <c:v>0.65028750000000002</c:v>
                </c:pt>
                <c:pt idx="204">
                  <c:v>0.6628925</c:v>
                </c:pt>
                <c:pt idx="205">
                  <c:v>0.67544369999999998</c:v>
                </c:pt>
                <c:pt idx="206">
                  <c:v>0.68790220000000002</c:v>
                </c:pt>
                <c:pt idx="207">
                  <c:v>0.70020590000000005</c:v>
                </c:pt>
                <c:pt idx="208">
                  <c:v>0.71237850000000003</c:v>
                </c:pt>
                <c:pt idx="209">
                  <c:v>0.72446379999999999</c:v>
                </c:pt>
                <c:pt idx="210">
                  <c:v>0.73641789999999996</c:v>
                </c:pt>
                <c:pt idx="211">
                  <c:v>0.74817889999999998</c:v>
                </c:pt>
                <c:pt idx="212">
                  <c:v>0.75977530000000004</c:v>
                </c:pt>
                <c:pt idx="213">
                  <c:v>0.77125069999999996</c:v>
                </c:pt>
                <c:pt idx="214">
                  <c:v>0.78255629999999998</c:v>
                </c:pt>
                <c:pt idx="215">
                  <c:v>0.79363110000000003</c:v>
                </c:pt>
                <c:pt idx="216">
                  <c:v>0.80450869999999997</c:v>
                </c:pt>
                <c:pt idx="217">
                  <c:v>0.81523179999999995</c:v>
                </c:pt>
                <c:pt idx="218">
                  <c:v>0.82574729999999996</c:v>
                </c:pt>
                <c:pt idx="219">
                  <c:v>0.83599590000000001</c:v>
                </c:pt>
                <c:pt idx="220">
                  <c:v>0.84601519999999997</c:v>
                </c:pt>
                <c:pt idx="221">
                  <c:v>0.85584150000000003</c:v>
                </c:pt>
                <c:pt idx="222">
                  <c:v>0.86541069999999998</c:v>
                </c:pt>
                <c:pt idx="223">
                  <c:v>0.87466350000000004</c:v>
                </c:pt>
                <c:pt idx="224">
                  <c:v>0.88364640000000005</c:v>
                </c:pt>
                <c:pt idx="225">
                  <c:v>0.89240030000000004</c:v>
                </c:pt>
                <c:pt idx="226">
                  <c:v>0.90086290000000002</c:v>
                </c:pt>
                <c:pt idx="227">
                  <c:v>0.90898069999999997</c:v>
                </c:pt>
                <c:pt idx="228">
                  <c:v>0.91680519999999999</c:v>
                </c:pt>
                <c:pt idx="229">
                  <c:v>0.92437530000000001</c:v>
                </c:pt>
                <c:pt idx="230">
                  <c:v>0.93162579999999995</c:v>
                </c:pt>
                <c:pt idx="231">
                  <c:v>0.9385078</c:v>
                </c:pt>
                <c:pt idx="232">
                  <c:v>0.94507830000000004</c:v>
                </c:pt>
                <c:pt idx="233">
                  <c:v>0.95137369999999999</c:v>
                </c:pt>
                <c:pt idx="234">
                  <c:v>0.95732640000000002</c:v>
                </c:pt>
                <c:pt idx="235">
                  <c:v>0.96289340000000001</c:v>
                </c:pt>
                <c:pt idx="236">
                  <c:v>0.96813590000000005</c:v>
                </c:pt>
                <c:pt idx="237">
                  <c:v>0.97308850000000002</c:v>
                </c:pt>
                <c:pt idx="238">
                  <c:v>0.97768219999999995</c:v>
                </c:pt>
                <c:pt idx="239">
                  <c:v>0.98188019999999998</c:v>
                </c:pt>
                <c:pt idx="240">
                  <c:v>0.98574879999999998</c:v>
                </c:pt>
                <c:pt idx="241">
                  <c:v>0.98932109999999995</c:v>
                </c:pt>
                <c:pt idx="242">
                  <c:v>0.99252720000000005</c:v>
                </c:pt>
                <c:pt idx="243">
                  <c:v>0.99533539999999998</c:v>
                </c:pt>
                <c:pt idx="244">
                  <c:v>0.99781660000000005</c:v>
                </c:pt>
                <c:pt idx="245">
                  <c:v>1</c:v>
                </c:pt>
                <c:pt idx="246">
                  <c:v>0.98045859999999996</c:v>
                </c:pt>
                <c:pt idx="247">
                  <c:v>0.98398410000000003</c:v>
                </c:pt>
                <c:pt idx="248">
                  <c:v>0.98715679999999995</c:v>
                </c:pt>
                <c:pt idx="249">
                  <c:v>0.98996360000000005</c:v>
                </c:pt>
                <c:pt idx="250">
                  <c:v>0.99243239999999999</c:v>
                </c:pt>
                <c:pt idx="251">
                  <c:v>0.99456979999999995</c:v>
                </c:pt>
                <c:pt idx="252">
                  <c:v>0.99634020000000001</c:v>
                </c:pt>
                <c:pt idx="253">
                  <c:v>0.99773710000000004</c:v>
                </c:pt>
                <c:pt idx="254">
                  <c:v>0.99880590000000002</c:v>
                </c:pt>
                <c:pt idx="255">
                  <c:v>0.99955570000000005</c:v>
                </c:pt>
                <c:pt idx="256">
                  <c:v>0.99984569999999995</c:v>
                </c:pt>
                <c:pt idx="257">
                  <c:v>0.66362310000000002</c:v>
                </c:pt>
                <c:pt idx="258">
                  <c:v>0.67282909999999996</c:v>
                </c:pt>
                <c:pt idx="259">
                  <c:v>0.68202410000000002</c:v>
                </c:pt>
                <c:pt idx="260">
                  <c:v>0.69121370000000004</c:v>
                </c:pt>
                <c:pt idx="261">
                  <c:v>0.70039229999999997</c:v>
                </c:pt>
                <c:pt idx="262">
                  <c:v>0.70957020000000004</c:v>
                </c:pt>
                <c:pt idx="263">
                  <c:v>0.71872579999999997</c:v>
                </c:pt>
                <c:pt idx="264">
                  <c:v>0.72786229999999996</c:v>
                </c:pt>
                <c:pt idx="265">
                  <c:v>0.73696079999999997</c:v>
                </c:pt>
                <c:pt idx="266">
                  <c:v>0.74602489999999999</c:v>
                </c:pt>
                <c:pt idx="267">
                  <c:v>0.75505199999999995</c:v>
                </c:pt>
                <c:pt idx="268">
                  <c:v>0.7640536</c:v>
                </c:pt>
                <c:pt idx="269">
                  <c:v>0.77301839999999999</c:v>
                </c:pt>
                <c:pt idx="270">
                  <c:v>0.78194220000000003</c:v>
                </c:pt>
                <c:pt idx="271">
                  <c:v>0.79081630000000003</c:v>
                </c:pt>
                <c:pt idx="272">
                  <c:v>0.79967750000000004</c:v>
                </c:pt>
                <c:pt idx="273">
                  <c:v>0.80853330000000001</c:v>
                </c:pt>
                <c:pt idx="274">
                  <c:v>0.81736540000000002</c:v>
                </c:pt>
                <c:pt idx="275">
                  <c:v>0.82614030000000005</c:v>
                </c:pt>
                <c:pt idx="276">
                  <c:v>0.83482109999999998</c:v>
                </c:pt>
                <c:pt idx="277">
                  <c:v>0.84348489999999998</c:v>
                </c:pt>
                <c:pt idx="278">
                  <c:v>0.85217580000000004</c:v>
                </c:pt>
                <c:pt idx="279">
                  <c:v>0.86085560000000005</c:v>
                </c:pt>
                <c:pt idx="280">
                  <c:v>0.86944639999999995</c:v>
                </c:pt>
                <c:pt idx="281">
                  <c:v>0.87797400000000003</c:v>
                </c:pt>
                <c:pt idx="282">
                  <c:v>0.8865075</c:v>
                </c:pt>
                <c:pt idx="283">
                  <c:v>0.89496929999999997</c:v>
                </c:pt>
                <c:pt idx="284">
                  <c:v>0.90328149999999996</c:v>
                </c:pt>
                <c:pt idx="285">
                  <c:v>0.91147900000000004</c:v>
                </c:pt>
                <c:pt idx="286">
                  <c:v>0.91963589999999995</c:v>
                </c:pt>
                <c:pt idx="287">
                  <c:v>0.92770790000000003</c:v>
                </c:pt>
                <c:pt idx="288">
                  <c:v>0.93560430000000006</c:v>
                </c:pt>
                <c:pt idx="289">
                  <c:v>0.94332280000000002</c:v>
                </c:pt>
                <c:pt idx="290">
                  <c:v>0.95092030000000005</c:v>
                </c:pt>
                <c:pt idx="291">
                  <c:v>0.95835360000000003</c:v>
                </c:pt>
                <c:pt idx="292">
                  <c:v>0.96555829999999998</c:v>
                </c:pt>
                <c:pt idx="293">
                  <c:v>0.97247600000000001</c:v>
                </c:pt>
                <c:pt idx="294">
                  <c:v>0.97908839999999997</c:v>
                </c:pt>
                <c:pt idx="295">
                  <c:v>0.98534710000000003</c:v>
                </c:pt>
                <c:pt idx="296">
                  <c:v>0.99119040000000003</c:v>
                </c:pt>
                <c:pt idx="297">
                  <c:v>0.99660380000000004</c:v>
                </c:pt>
                <c:pt idx="298">
                  <c:v>0.9999749</c:v>
                </c:pt>
              </c:numCache>
            </c:numRef>
          </c:xVal>
          <c:yVal>
            <c:numRef>
              <c:f>翼型設計!$O$12:$O$335</c:f>
              <c:numCache>
                <c:formatCode>General</c:formatCode>
                <c:ptCount val="324"/>
                <c:pt idx="0">
                  <c:v>0</c:v>
                </c:pt>
                <c:pt idx="1">
                  <c:v>7.3620000000000001E-4</c:v>
                </c:pt>
                <c:pt idx="2">
                  <c:v>1.5046E-3</c:v>
                </c:pt>
                <c:pt idx="3">
                  <c:v>2.3860000000000001E-3</c:v>
                </c:pt>
                <c:pt idx="4">
                  <c:v>3.3846000000000002E-3</c:v>
                </c:pt>
                <c:pt idx="5">
                  <c:v>4.4184999999999997E-3</c:v>
                </c:pt>
                <c:pt idx="6">
                  <c:v>5.483E-3</c:v>
                </c:pt>
                <c:pt idx="7">
                  <c:v>6.6543000000000001E-3</c:v>
                </c:pt>
                <c:pt idx="8">
                  <c:v>7.9307000000000006E-3</c:v>
                </c:pt>
                <c:pt idx="9">
                  <c:v>9.2336999999999992E-3</c:v>
                </c:pt>
                <c:pt idx="10">
                  <c:v>1.05646E-2</c:v>
                </c:pt>
                <c:pt idx="11">
                  <c:v>1.19965E-2</c:v>
                </c:pt>
                <c:pt idx="12">
                  <c:v>1.3523500000000001E-2</c:v>
                </c:pt>
                <c:pt idx="13">
                  <c:v>1.50714E-2</c:v>
                </c:pt>
                <c:pt idx="14">
                  <c:v>1.6645400000000001E-2</c:v>
                </c:pt>
                <c:pt idx="15">
                  <c:v>1.8315499999999998E-2</c:v>
                </c:pt>
                <c:pt idx="16">
                  <c:v>2.00701E-2</c:v>
                </c:pt>
                <c:pt idx="17">
                  <c:v>2.1836999999999999E-2</c:v>
                </c:pt>
                <c:pt idx="18">
                  <c:v>2.3625199999999999E-2</c:v>
                </c:pt>
                <c:pt idx="19">
                  <c:v>2.5503399999999999E-2</c:v>
                </c:pt>
                <c:pt idx="20">
                  <c:v>2.7459600000000001E-2</c:v>
                </c:pt>
                <c:pt idx="21">
                  <c:v>2.9427399999999999E-2</c:v>
                </c:pt>
                <c:pt idx="22">
                  <c:v>3.1423E-2</c:v>
                </c:pt>
                <c:pt idx="23">
                  <c:v>3.35144E-2</c:v>
                </c:pt>
                <c:pt idx="24">
                  <c:v>3.5688699999999997E-2</c:v>
                </c:pt>
                <c:pt idx="25">
                  <c:v>3.7886000000000003E-2</c:v>
                </c:pt>
                <c:pt idx="26">
                  <c:v>4.0131800000000002E-2</c:v>
                </c:pt>
                <c:pt idx="27">
                  <c:v>4.2496100000000002E-2</c:v>
                </c:pt>
                <c:pt idx="28">
                  <c:v>4.4959899999999997E-2</c:v>
                </c:pt>
                <c:pt idx="29">
                  <c:v>4.7457399999999997E-2</c:v>
                </c:pt>
                <c:pt idx="30">
                  <c:v>5.0005300000000003E-2</c:v>
                </c:pt>
                <c:pt idx="31">
                  <c:v>5.2658299999999998E-2</c:v>
                </c:pt>
                <c:pt idx="32">
                  <c:v>5.5387199999999998E-2</c:v>
                </c:pt>
                <c:pt idx="33">
                  <c:v>5.81266E-2</c:v>
                </c:pt>
                <c:pt idx="34">
                  <c:v>6.0891500000000001E-2</c:v>
                </c:pt>
                <c:pt idx="35">
                  <c:v>6.3727000000000006E-2</c:v>
                </c:pt>
                <c:pt idx="36">
                  <c:v>6.6596699999999995E-2</c:v>
                </c:pt>
                <c:pt idx="37">
                  <c:v>6.9437399999999996E-2</c:v>
                </c:pt>
                <c:pt idx="38">
                  <c:v>7.2263400000000005E-2</c:v>
                </c:pt>
                <c:pt idx="39">
                  <c:v>7.5112700000000004E-2</c:v>
                </c:pt>
                <c:pt idx="40">
                  <c:v>7.7946500000000002E-2</c:v>
                </c:pt>
                <c:pt idx="41">
                  <c:v>8.0705799999999994E-2</c:v>
                </c:pt>
                <c:pt idx="42">
                  <c:v>8.3405199999999999E-2</c:v>
                </c:pt>
                <c:pt idx="43">
                  <c:v>8.6078500000000002E-2</c:v>
                </c:pt>
                <c:pt idx="44">
                  <c:v>8.8688600000000006E-2</c:v>
                </c:pt>
                <c:pt idx="45">
                  <c:v>9.1183100000000003E-2</c:v>
                </c:pt>
                <c:pt idx="46">
                  <c:v>9.3579599999999999E-2</c:v>
                </c:pt>
                <c:pt idx="47">
                  <c:v>9.5911899999999994E-2</c:v>
                </c:pt>
                <c:pt idx="48">
                  <c:v>9.8147999999999999E-2</c:v>
                </c:pt>
                <c:pt idx="49">
                  <c:v>0.10024370000000001</c:v>
                </c:pt>
                <c:pt idx="50">
                  <c:v>0.1022207</c:v>
                </c:pt>
                <c:pt idx="51">
                  <c:v>0.1041139</c:v>
                </c:pt>
                <c:pt idx="52">
                  <c:v>0.1058965</c:v>
                </c:pt>
                <c:pt idx="53">
                  <c:v>0.10753070000000001</c:v>
                </c:pt>
                <c:pt idx="54">
                  <c:v>0.1090405</c:v>
                </c:pt>
                <c:pt idx="55">
                  <c:v>0.1104612</c:v>
                </c:pt>
                <c:pt idx="56">
                  <c:v>0.1117691</c:v>
                </c:pt>
                <c:pt idx="57">
                  <c:v>0.1129308</c:v>
                </c:pt>
                <c:pt idx="58">
                  <c:v>0.1139708</c:v>
                </c:pt>
                <c:pt idx="59">
                  <c:v>0.1149236</c:v>
                </c:pt>
                <c:pt idx="60">
                  <c:v>0.1157673</c:v>
                </c:pt>
                <c:pt idx="61">
                  <c:v>0.11647159999999999</c:v>
                </c:pt>
                <c:pt idx="62">
                  <c:v>0.11706179999999999</c:v>
                </c:pt>
                <c:pt idx="63">
                  <c:v>0.11757140000000001</c:v>
                </c:pt>
                <c:pt idx="64">
                  <c:v>0.1179798</c:v>
                </c:pt>
                <c:pt idx="65">
                  <c:v>0.1182583</c:v>
                </c:pt>
                <c:pt idx="66">
                  <c:v>0.1184306</c:v>
                </c:pt>
                <c:pt idx="67">
                  <c:v>0.1185264</c:v>
                </c:pt>
                <c:pt idx="68">
                  <c:v>0.1185242</c:v>
                </c:pt>
                <c:pt idx="69">
                  <c:v>0.1183973</c:v>
                </c:pt>
                <c:pt idx="70">
                  <c:v>0.1181686</c:v>
                </c:pt>
                <c:pt idx="71">
                  <c:v>0.11786580000000001</c:v>
                </c:pt>
                <c:pt idx="72">
                  <c:v>0.1174678</c:v>
                </c:pt>
                <c:pt idx="73">
                  <c:v>0.1169502</c:v>
                </c:pt>
                <c:pt idx="74">
                  <c:v>0.1163356</c:v>
                </c:pt>
                <c:pt idx="75">
                  <c:v>0.11565</c:v>
                </c:pt>
                <c:pt idx="76">
                  <c:v>0.1148733</c:v>
                </c:pt>
                <c:pt idx="77">
                  <c:v>0.1139833</c:v>
                </c:pt>
                <c:pt idx="78">
                  <c:v>0.1130024</c:v>
                </c:pt>
                <c:pt idx="79">
                  <c:v>0.111955</c:v>
                </c:pt>
                <c:pt idx="80">
                  <c:v>0.1108218</c:v>
                </c:pt>
                <c:pt idx="81">
                  <c:v>0.10958320000000001</c:v>
                </c:pt>
                <c:pt idx="82">
                  <c:v>0.10826139999999999</c:v>
                </c:pt>
                <c:pt idx="83">
                  <c:v>0.1068791</c:v>
                </c:pt>
                <c:pt idx="84">
                  <c:v>0.1054184</c:v>
                </c:pt>
                <c:pt idx="85">
                  <c:v>0.1038618</c:v>
                </c:pt>
                <c:pt idx="86">
                  <c:v>0.1022314</c:v>
                </c:pt>
                <c:pt idx="87">
                  <c:v>0.10054829999999999</c:v>
                </c:pt>
                <c:pt idx="88">
                  <c:v>9.8795400000000005E-2</c:v>
                </c:pt>
                <c:pt idx="89">
                  <c:v>9.6957799999999997E-2</c:v>
                </c:pt>
                <c:pt idx="90">
                  <c:v>9.5056799999999997E-2</c:v>
                </c:pt>
                <c:pt idx="91">
                  <c:v>9.31115E-2</c:v>
                </c:pt>
                <c:pt idx="92">
                  <c:v>9.1105400000000003E-2</c:v>
                </c:pt>
                <c:pt idx="93">
                  <c:v>8.9024000000000006E-2</c:v>
                </c:pt>
                <c:pt idx="94">
                  <c:v>8.6885799999999999E-2</c:v>
                </c:pt>
                <c:pt idx="95">
                  <c:v>8.47054E-2</c:v>
                </c:pt>
                <c:pt idx="96">
                  <c:v>8.2464700000000002E-2</c:v>
                </c:pt>
                <c:pt idx="97">
                  <c:v>8.0149799999999993E-2</c:v>
                </c:pt>
                <c:pt idx="98">
                  <c:v>7.7777799999999994E-2</c:v>
                </c:pt>
                <c:pt idx="99">
                  <c:v>7.5362299999999993E-2</c:v>
                </c:pt>
                <c:pt idx="100">
                  <c:v>7.2888499999999995E-2</c:v>
                </c:pt>
                <c:pt idx="101">
                  <c:v>7.0347599999999996E-2</c:v>
                </c:pt>
                <c:pt idx="102">
                  <c:v>6.7759700000000006E-2</c:v>
                </c:pt>
                <c:pt idx="103">
                  <c:v>6.5141000000000004E-2</c:v>
                </c:pt>
                <c:pt idx="104">
                  <c:v>6.2482299999999998E-2</c:v>
                </c:pt>
                <c:pt idx="105">
                  <c:v>5.978E-2</c:v>
                </c:pt>
                <c:pt idx="106">
                  <c:v>5.7056999999999997E-2</c:v>
                </c:pt>
                <c:pt idx="107">
                  <c:v>5.4330499999999997E-2</c:v>
                </c:pt>
                <c:pt idx="108">
                  <c:v>5.1593100000000003E-2</c:v>
                </c:pt>
                <c:pt idx="109">
                  <c:v>4.8843400000000002E-2</c:v>
                </c:pt>
                <c:pt idx="110">
                  <c:v>4.6103199999999997E-2</c:v>
                </c:pt>
                <c:pt idx="111">
                  <c:v>4.3387200000000001E-2</c:v>
                </c:pt>
                <c:pt idx="112">
                  <c:v>4.0682799999999998E-2</c:v>
                </c:pt>
                <c:pt idx="113">
                  <c:v>3.7975000000000002E-2</c:v>
                </c:pt>
                <c:pt idx="114">
                  <c:v>3.5263599999999999E-2</c:v>
                </c:pt>
                <c:pt idx="115">
                  <c:v>3.2550599999999999E-2</c:v>
                </c:pt>
                <c:pt idx="116">
                  <c:v>2.98403E-2</c:v>
                </c:pt>
                <c:pt idx="117">
                  <c:v>2.7156199999999998E-2</c:v>
                </c:pt>
                <c:pt idx="118">
                  <c:v>2.4524399999999998E-2</c:v>
                </c:pt>
                <c:pt idx="119">
                  <c:v>2.1937100000000001E-2</c:v>
                </c:pt>
                <c:pt idx="120">
                  <c:v>1.9366700000000001E-2</c:v>
                </c:pt>
                <c:pt idx="121">
                  <c:v>1.68214E-2</c:v>
                </c:pt>
                <c:pt idx="122">
                  <c:v>1.4349499999999999E-2</c:v>
                </c:pt>
                <c:pt idx="123">
                  <c:v>1.19743E-2</c:v>
                </c:pt>
                <c:pt idx="124">
                  <c:v>9.6635000000000002E-3</c:v>
                </c:pt>
                <c:pt idx="125">
                  <c:v>7.3749999999999996E-3</c:v>
                </c:pt>
                <c:pt idx="126">
                  <c:v>5.1031000000000002E-3</c:v>
                </c:pt>
                <c:pt idx="127">
                  <c:v>2.8671999999999999E-3</c:v>
                </c:pt>
                <c:pt idx="128">
                  <c:v>6.8219999999999999E-4</c:v>
                </c:pt>
                <c:pt idx="129">
                  <c:v>-1.4369000000000001E-3</c:v>
                </c:pt>
                <c:pt idx="130">
                  <c:v>-3.4562999999999998E-3</c:v>
                </c:pt>
                <c:pt idx="131">
                  <c:v>-5.3403000000000001E-3</c:v>
                </c:pt>
                <c:pt idx="132">
                  <c:v>-7.0845999999999999E-3</c:v>
                </c:pt>
                <c:pt idx="133">
                  <c:v>-8.7230999999999993E-3</c:v>
                </c:pt>
                <c:pt idx="134">
                  <c:v>-1.0301899999999999E-2</c:v>
                </c:pt>
                <c:pt idx="135">
                  <c:v>-1.1846199999999999E-2</c:v>
                </c:pt>
                <c:pt idx="136">
                  <c:v>-1.33472E-2</c:v>
                </c:pt>
                <c:pt idx="137">
                  <c:v>-1.4789E-2</c:v>
                </c:pt>
                <c:pt idx="138">
                  <c:v>-1.6174500000000001E-2</c:v>
                </c:pt>
                <c:pt idx="139">
                  <c:v>-1.7510899999999999E-2</c:v>
                </c:pt>
                <c:pt idx="140">
                  <c:v>-1.8791599999999999E-2</c:v>
                </c:pt>
                <c:pt idx="141">
                  <c:v>-2.0011000000000001E-2</c:v>
                </c:pt>
                <c:pt idx="142">
                  <c:v>-2.11813E-2</c:v>
                </c:pt>
                <c:pt idx="143">
                  <c:v>-2.2312499999999999E-2</c:v>
                </c:pt>
                <c:pt idx="144">
                  <c:v>-2.33949E-2</c:v>
                </c:pt>
                <c:pt idx="145">
                  <c:v>-2.4419699999999999E-2</c:v>
                </c:pt>
                <c:pt idx="146">
                  <c:v>-2.53975E-2</c:v>
                </c:pt>
                <c:pt idx="147">
                  <c:v>-2.6335000000000001E-2</c:v>
                </c:pt>
                <c:pt idx="148">
                  <c:v>-2.7218699999999998E-2</c:v>
                </c:pt>
                <c:pt idx="149">
                  <c:v>-2.8040499999999999E-2</c:v>
                </c:pt>
                <c:pt idx="150">
                  <c:v>-2.8814900000000001E-2</c:v>
                </c:pt>
                <c:pt idx="151">
                  <c:v>-2.95494E-2</c:v>
                </c:pt>
                <c:pt idx="152">
                  <c:v>-3.02271E-2</c:v>
                </c:pt>
                <c:pt idx="153">
                  <c:v>-3.0840699999999999E-2</c:v>
                </c:pt>
                <c:pt idx="154">
                  <c:v>-3.14071E-2</c:v>
                </c:pt>
                <c:pt idx="155">
                  <c:v>-3.19317E-2</c:v>
                </c:pt>
                <c:pt idx="156">
                  <c:v>-3.2393400000000003E-2</c:v>
                </c:pt>
                <c:pt idx="157">
                  <c:v>-3.2785700000000001E-2</c:v>
                </c:pt>
                <c:pt idx="158">
                  <c:v>-3.3129899999999997E-2</c:v>
                </c:pt>
                <c:pt idx="159">
                  <c:v>-3.3432200000000002E-2</c:v>
                </c:pt>
                <c:pt idx="160">
                  <c:v>-3.3671399999999997E-2</c:v>
                </c:pt>
                <c:pt idx="161">
                  <c:v>-3.3846500000000002E-2</c:v>
                </c:pt>
                <c:pt idx="162">
                  <c:v>-3.3986599999999999E-2</c:v>
                </c:pt>
                <c:pt idx="163">
                  <c:v>-3.4097500000000003E-2</c:v>
                </c:pt>
                <c:pt idx="164">
                  <c:v>-3.41505E-2</c:v>
                </c:pt>
                <c:pt idx="165">
                  <c:v>-3.4141299999999999E-2</c:v>
                </c:pt>
                <c:pt idx="166">
                  <c:v>-3.4099299999999999E-2</c:v>
                </c:pt>
                <c:pt idx="167">
                  <c:v>-3.4028700000000002E-2</c:v>
                </c:pt>
                <c:pt idx="168">
                  <c:v>-3.3898999999999999E-2</c:v>
                </c:pt>
                <c:pt idx="169">
                  <c:v>-3.3708200000000001E-2</c:v>
                </c:pt>
                <c:pt idx="170">
                  <c:v>-3.3489100000000001E-2</c:v>
                </c:pt>
                <c:pt idx="171">
                  <c:v>-3.3244099999999999E-2</c:v>
                </c:pt>
                <c:pt idx="172">
                  <c:v>-3.2939400000000001E-2</c:v>
                </c:pt>
                <c:pt idx="173">
                  <c:v>-3.2575100000000003E-2</c:v>
                </c:pt>
                <c:pt idx="174">
                  <c:v>-3.21877E-2</c:v>
                </c:pt>
                <c:pt idx="175">
                  <c:v>-3.1777199999999999E-2</c:v>
                </c:pt>
                <c:pt idx="176">
                  <c:v>-3.1307300000000003E-2</c:v>
                </c:pt>
                <c:pt idx="177">
                  <c:v>-3.0781200000000002E-2</c:v>
                </c:pt>
                <c:pt idx="178">
                  <c:v>-3.02399E-2</c:v>
                </c:pt>
                <c:pt idx="179">
                  <c:v>-2.96831E-2</c:v>
                </c:pt>
                <c:pt idx="180">
                  <c:v>-2.9073999999999999E-2</c:v>
                </c:pt>
                <c:pt idx="181">
                  <c:v>-2.8421100000000001E-2</c:v>
                </c:pt>
                <c:pt idx="182">
                  <c:v>-2.7770599999999999E-2</c:v>
                </c:pt>
                <c:pt idx="183">
                  <c:v>-2.7120200000000001E-2</c:v>
                </c:pt>
                <c:pt idx="184">
                  <c:v>-2.64297E-2</c:v>
                </c:pt>
                <c:pt idx="185">
                  <c:v>-2.5710299999999998E-2</c:v>
                </c:pt>
                <c:pt idx="186">
                  <c:v>-2.5009300000000002E-2</c:v>
                </c:pt>
                <c:pt idx="187">
                  <c:v>-2.4319299999999999E-2</c:v>
                </c:pt>
                <c:pt idx="188">
                  <c:v>-2.3595999999999999E-2</c:v>
                </c:pt>
                <c:pt idx="189">
                  <c:v>-2.2851699999999999E-2</c:v>
                </c:pt>
                <c:pt idx="190">
                  <c:v>-2.21342E-2</c:v>
                </c:pt>
                <c:pt idx="191">
                  <c:v>-2.1429400000000001E-2</c:v>
                </c:pt>
                <c:pt idx="192">
                  <c:v>-2.0689699999999998E-2</c:v>
                </c:pt>
                <c:pt idx="193">
                  <c:v>-1.99318E-2</c:v>
                </c:pt>
                <c:pt idx="194">
                  <c:v>-1.92067E-2</c:v>
                </c:pt>
                <c:pt idx="195">
                  <c:v>-1.8497900000000001E-2</c:v>
                </c:pt>
                <c:pt idx="196">
                  <c:v>-1.7756600000000001E-2</c:v>
                </c:pt>
                <c:pt idx="197">
                  <c:v>-1.70043E-2</c:v>
                </c:pt>
                <c:pt idx="198">
                  <c:v>-1.6293100000000001E-2</c:v>
                </c:pt>
                <c:pt idx="199">
                  <c:v>-1.56031E-2</c:v>
                </c:pt>
                <c:pt idx="200">
                  <c:v>-1.4883499999999999E-2</c:v>
                </c:pt>
                <c:pt idx="201">
                  <c:v>-1.4160499999999999E-2</c:v>
                </c:pt>
                <c:pt idx="202">
                  <c:v>-1.3487499999999999E-2</c:v>
                </c:pt>
                <c:pt idx="203">
                  <c:v>-1.28396E-2</c:v>
                </c:pt>
                <c:pt idx="204">
                  <c:v>-1.21656E-2</c:v>
                </c:pt>
                <c:pt idx="205">
                  <c:v>-1.14956E-2</c:v>
                </c:pt>
                <c:pt idx="206">
                  <c:v>-1.08839E-2</c:v>
                </c:pt>
                <c:pt idx="207">
                  <c:v>-1.0300800000000001E-2</c:v>
                </c:pt>
                <c:pt idx="208">
                  <c:v>-9.6941000000000006E-3</c:v>
                </c:pt>
                <c:pt idx="209">
                  <c:v>-9.0992E-3</c:v>
                </c:pt>
                <c:pt idx="210">
                  <c:v>-8.5699999999999995E-3</c:v>
                </c:pt>
                <c:pt idx="211">
                  <c:v>-8.0716E-3</c:v>
                </c:pt>
                <c:pt idx="212">
                  <c:v>-7.5522000000000002E-3</c:v>
                </c:pt>
                <c:pt idx="213">
                  <c:v>-7.0512999999999999E-3</c:v>
                </c:pt>
                <c:pt idx="214">
                  <c:v>-6.6224999999999999E-3</c:v>
                </c:pt>
                <c:pt idx="215">
                  <c:v>-6.2255000000000001E-3</c:v>
                </c:pt>
                <c:pt idx="216">
                  <c:v>-5.8092999999999999E-3</c:v>
                </c:pt>
                <c:pt idx="217">
                  <c:v>-5.4183E-3</c:v>
                </c:pt>
                <c:pt idx="218">
                  <c:v>-5.1045999999999999E-3</c:v>
                </c:pt>
                <c:pt idx="219">
                  <c:v>-4.8241999999999998E-3</c:v>
                </c:pt>
                <c:pt idx="220">
                  <c:v>-4.5300000000000002E-3</c:v>
                </c:pt>
                <c:pt idx="221">
                  <c:v>-4.2722999999999997E-3</c:v>
                </c:pt>
                <c:pt idx="222">
                  <c:v>-4.0981000000000004E-3</c:v>
                </c:pt>
                <c:pt idx="223">
                  <c:v>-3.9497000000000004E-3</c:v>
                </c:pt>
                <c:pt idx="224">
                  <c:v>-3.7743999999999998E-3</c:v>
                </c:pt>
                <c:pt idx="225">
                  <c:v>-3.6235999999999998E-3</c:v>
                </c:pt>
                <c:pt idx="226">
                  <c:v>-3.5425999999999999E-3</c:v>
                </c:pt>
                <c:pt idx="227">
                  <c:v>-3.4721000000000001E-3</c:v>
                </c:pt>
                <c:pt idx="228">
                  <c:v>-3.3633999999999999E-3</c:v>
                </c:pt>
                <c:pt idx="229">
                  <c:v>-3.2726000000000001E-3</c:v>
                </c:pt>
                <c:pt idx="230">
                  <c:v>-3.2412999999999999E-3</c:v>
                </c:pt>
                <c:pt idx="231">
                  <c:v>-3.2062000000000002E-3</c:v>
                </c:pt>
                <c:pt idx="232">
                  <c:v>-3.1224E-3</c:v>
                </c:pt>
                <c:pt idx="233">
                  <c:v>-3.0493999999999999E-3</c:v>
                </c:pt>
                <c:pt idx="234">
                  <c:v>-3.0249999999999999E-3</c:v>
                </c:pt>
                <c:pt idx="235">
                  <c:v>-2.9822999999999998E-3</c:v>
                </c:pt>
                <c:pt idx="236">
                  <c:v>-2.8801E-3</c:v>
                </c:pt>
                <c:pt idx="237">
                  <c:v>-2.7813E-3</c:v>
                </c:pt>
                <c:pt idx="238">
                  <c:v>-2.7193999999999999E-3</c:v>
                </c:pt>
                <c:pt idx="239">
                  <c:v>-2.6251E-3</c:v>
                </c:pt>
                <c:pt idx="240">
                  <c:v>-2.4615000000000001E-3</c:v>
                </c:pt>
                <c:pt idx="241">
                  <c:v>-2.2958000000000002E-3</c:v>
                </c:pt>
                <c:pt idx="242">
                  <c:v>-2.1592999999999998E-3</c:v>
                </c:pt>
                <c:pt idx="243">
                  <c:v>-1.9819E-3</c:v>
                </c:pt>
                <c:pt idx="244">
                  <c:v>-1.7328999999999999E-3</c:v>
                </c:pt>
                <c:pt idx="245">
                  <c:v>-1.4863000000000001E-3</c:v>
                </c:pt>
                <c:pt idx="246">
                  <c:v>-2.7471000000000001E-3</c:v>
                </c:pt>
                <c:pt idx="247">
                  <c:v>-2.6294000000000001E-3</c:v>
                </c:pt>
                <c:pt idx="248">
                  <c:v>-2.5167000000000002E-3</c:v>
                </c:pt>
                <c:pt idx="249">
                  <c:v>-2.3804E-3</c:v>
                </c:pt>
                <c:pt idx="250">
                  <c:v>-2.2106999999999999E-3</c:v>
                </c:pt>
                <c:pt idx="251">
                  <c:v>-2.0393999999999998E-3</c:v>
                </c:pt>
                <c:pt idx="252">
                  <c:v>-1.8739E-3</c:v>
                </c:pt>
                <c:pt idx="253">
                  <c:v>-1.6777000000000001E-3</c:v>
                </c:pt>
                <c:pt idx="254">
                  <c:v>-1.4494E-3</c:v>
                </c:pt>
                <c:pt idx="255">
                  <c:v>-1.2634E-3</c:v>
                </c:pt>
                <c:pt idx="256">
                  <c:v>-1.1941E-3</c:v>
                </c:pt>
                <c:pt idx="257">
                  <c:v>2.8200000000000002E-4</c:v>
                </c:pt>
                <c:pt idx="258">
                  <c:v>9.1469999999999995E-4</c:v>
                </c:pt>
                <c:pt idx="259">
                  <c:v>1.5571999999999999E-3</c:v>
                </c:pt>
                <c:pt idx="260">
                  <c:v>2.2066E-3</c:v>
                </c:pt>
                <c:pt idx="261">
                  <c:v>2.8195E-3</c:v>
                </c:pt>
                <c:pt idx="262">
                  <c:v>3.4033000000000002E-3</c:v>
                </c:pt>
                <c:pt idx="263">
                  <c:v>3.9604999999999996E-3</c:v>
                </c:pt>
                <c:pt idx="264">
                  <c:v>4.4901999999999997E-3</c:v>
                </c:pt>
                <c:pt idx="265">
                  <c:v>4.9935999999999999E-3</c:v>
                </c:pt>
                <c:pt idx="266">
                  <c:v>5.4698999999999998E-3</c:v>
                </c:pt>
                <c:pt idx="267">
                  <c:v>5.9164999999999999E-3</c:v>
                </c:pt>
                <c:pt idx="268">
                  <c:v>6.3397999999999996E-3</c:v>
                </c:pt>
                <c:pt idx="269">
                  <c:v>6.7387000000000002E-3</c:v>
                </c:pt>
                <c:pt idx="270">
                  <c:v>7.1145999999999996E-3</c:v>
                </c:pt>
                <c:pt idx="271">
                  <c:v>7.4538E-3</c:v>
                </c:pt>
                <c:pt idx="272">
                  <c:v>7.7489999999999998E-3</c:v>
                </c:pt>
                <c:pt idx="273">
                  <c:v>8.0125000000000005E-3</c:v>
                </c:pt>
                <c:pt idx="274">
                  <c:v>8.2474999999999996E-3</c:v>
                </c:pt>
                <c:pt idx="275">
                  <c:v>8.4696000000000007E-3</c:v>
                </c:pt>
                <c:pt idx="276">
                  <c:v>8.6452999999999999E-3</c:v>
                </c:pt>
                <c:pt idx="277">
                  <c:v>8.7448000000000005E-3</c:v>
                </c:pt>
                <c:pt idx="278">
                  <c:v>8.7890999999999993E-3</c:v>
                </c:pt>
                <c:pt idx="279">
                  <c:v>8.8111999999999999E-3</c:v>
                </c:pt>
                <c:pt idx="280">
                  <c:v>8.8015999999999997E-3</c:v>
                </c:pt>
                <c:pt idx="281">
                  <c:v>8.7077999999999999E-3</c:v>
                </c:pt>
                <c:pt idx="282">
                  <c:v>8.5570999999999998E-3</c:v>
                </c:pt>
                <c:pt idx="283">
                  <c:v>8.3966000000000006E-3</c:v>
                </c:pt>
                <c:pt idx="284">
                  <c:v>8.1922999999999996E-3</c:v>
                </c:pt>
                <c:pt idx="285">
                  <c:v>7.8831999999999999E-3</c:v>
                </c:pt>
                <c:pt idx="286">
                  <c:v>7.4911999999999999E-3</c:v>
                </c:pt>
                <c:pt idx="287">
                  <c:v>7.0606999999999996E-3</c:v>
                </c:pt>
                <c:pt idx="288">
                  <c:v>6.5862000000000004E-3</c:v>
                </c:pt>
                <c:pt idx="289">
                  <c:v>6.0042999999999997E-3</c:v>
                </c:pt>
                <c:pt idx="290">
                  <c:v>5.3363999999999998E-3</c:v>
                </c:pt>
                <c:pt idx="291">
                  <c:v>4.6204000000000002E-3</c:v>
                </c:pt>
                <c:pt idx="292">
                  <c:v>3.8660999999999999E-3</c:v>
                </c:pt>
                <c:pt idx="293">
                  <c:v>3.0704E-3</c:v>
                </c:pt>
                <c:pt idx="294">
                  <c:v>2.2311000000000002E-3</c:v>
                </c:pt>
                <c:pt idx="295">
                  <c:v>1.4025000000000001E-3</c:v>
                </c:pt>
                <c:pt idx="296">
                  <c:v>5.8460000000000001E-4</c:v>
                </c:pt>
                <c:pt idx="297">
                  <c:v>-2.195E-4</c:v>
                </c:pt>
                <c:pt idx="298">
                  <c:v>-7.471E-4</c:v>
                </c:pt>
              </c:numCache>
            </c:numRef>
          </c:yVal>
          <c:smooth val="0"/>
          <c:extLst>
            <c:ext xmlns:c16="http://schemas.microsoft.com/office/drawing/2014/chart" uri="{C3380CC4-5D6E-409C-BE32-E72D297353CC}">
              <c16:uniqueId val="{00000000-B19B-4F1D-808E-59927FDE8DD3}"/>
            </c:ext>
          </c:extLst>
        </c:ser>
        <c:dLbls>
          <c:showLegendKey val="0"/>
          <c:showVal val="0"/>
          <c:showCatName val="0"/>
          <c:showSerName val="0"/>
          <c:showPercent val="0"/>
          <c:showBubbleSize val="0"/>
        </c:dLbls>
        <c:axId val="854391071"/>
        <c:axId val="854390111"/>
      </c:scatterChart>
      <c:valAx>
        <c:axId val="854391071"/>
        <c:scaling>
          <c:orientation val="minMax"/>
          <c:max val="1"/>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4390111"/>
        <c:crosses val="autoZero"/>
        <c:crossBetween val="midCat"/>
        <c:minorUnit val="0.2"/>
      </c:valAx>
      <c:valAx>
        <c:axId val="854390111"/>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4391071"/>
        <c:crosses val="max"/>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∂α0/∂δf</c:v>
          </c:tx>
          <c:spPr>
            <a:ln w="19050" cap="rnd">
              <a:solidFill>
                <a:schemeClr val="accent1"/>
              </a:solidFill>
              <a:round/>
            </a:ln>
            <a:effectLst/>
          </c:spPr>
          <c:marker>
            <c:symbol val="none"/>
          </c:marker>
          <c:xVal>
            <c:numLit>
              <c:formatCode>General</c:formatCode>
              <c:ptCount val="31"/>
              <c:pt idx="0">
                <c:v>0</c:v>
              </c:pt>
              <c:pt idx="1">
                <c:v>0.04</c:v>
              </c:pt>
              <c:pt idx="2">
                <c:v>0.08</c:v>
              </c:pt>
              <c:pt idx="3">
                <c:v>0.12</c:v>
              </c:pt>
              <c:pt idx="4">
                <c:v>0.16</c:v>
              </c:pt>
              <c:pt idx="5">
                <c:v>0.2</c:v>
              </c:pt>
              <c:pt idx="6">
                <c:v>0.24000000000000002</c:v>
              </c:pt>
              <c:pt idx="7">
                <c:v>0.28000000000000003</c:v>
              </c:pt>
              <c:pt idx="8">
                <c:v>0.32</c:v>
              </c:pt>
              <c:pt idx="9">
                <c:v>0.36</c:v>
              </c:pt>
              <c:pt idx="10">
                <c:v>0.39999999999999997</c:v>
              </c:pt>
              <c:pt idx="11">
                <c:v>0.43999999999999995</c:v>
              </c:pt>
              <c:pt idx="12">
                <c:v>0.47999999999999993</c:v>
              </c:pt>
              <c:pt idx="13">
                <c:v>0.51999999999999991</c:v>
              </c:pt>
              <c:pt idx="14">
                <c:v>0.55999999999999994</c:v>
              </c:pt>
              <c:pt idx="15">
                <c:v>0.6</c:v>
              </c:pt>
              <c:pt idx="16">
                <c:v>0.64</c:v>
              </c:pt>
              <c:pt idx="17">
                <c:v>0.68</c:v>
              </c:pt>
              <c:pt idx="18">
                <c:v>0.72000000000000008</c:v>
              </c:pt>
              <c:pt idx="19">
                <c:v>0.76000000000000012</c:v>
              </c:pt>
              <c:pt idx="20">
                <c:v>0.80000000000000016</c:v>
              </c:pt>
              <c:pt idx="21">
                <c:v>0.84000000000000019</c:v>
              </c:pt>
              <c:pt idx="22">
                <c:v>0.88000000000000023</c:v>
              </c:pt>
              <c:pt idx="23">
                <c:v>0.92000000000000026</c:v>
              </c:pt>
              <c:pt idx="24">
                <c:v>0.9600000000000003</c:v>
              </c:pt>
              <c:pt idx="25">
                <c:v>1.0000000000000002</c:v>
              </c:pt>
            </c:numLit>
          </c:xVal>
          <c:yVal>
            <c:numLit>
              <c:formatCode>General</c:formatCode>
              <c:ptCount val="31"/>
              <c:pt idx="0">
                <c:v>0</c:v>
              </c:pt>
              <c:pt idx="1">
                <c:v>0.10984806400000001</c:v>
              </c:pt>
              <c:pt idx="2">
                <c:v>0.20923571200000002</c:v>
              </c:pt>
              <c:pt idx="3">
                <c:v>0.29876812799999997</c:v>
              </c:pt>
              <c:pt idx="4">
                <c:v>0.37905049600000001</c:v>
              </c:pt>
              <c:pt idx="5">
                <c:v>0.45068799999999998</c:v>
              </c:pt>
              <c:pt idx="6">
                <c:v>0.514285824</c:v>
              </c:pt>
              <c:pt idx="7">
                <c:v>0.57044915200000013</c:v>
              </c:pt>
              <c:pt idx="8">
                <c:v>0.619783168</c:v>
              </c:pt>
              <c:pt idx="9">
                <c:v>0.66289305599999993</c:v>
              </c:pt>
              <c:pt idx="10">
                <c:v>0.70038400000000001</c:v>
              </c:pt>
              <c:pt idx="11">
                <c:v>0.73286118399999989</c:v>
              </c:pt>
              <c:pt idx="12">
                <c:v>0.76092979199999999</c:v>
              </c:pt>
              <c:pt idx="13">
                <c:v>0.78519500799999986</c:v>
              </c:pt>
              <c:pt idx="14">
                <c:v>0.80626201600000003</c:v>
              </c:pt>
              <c:pt idx="15">
                <c:v>0.82473600000000014</c:v>
              </c:pt>
              <c:pt idx="16">
                <c:v>0.84122214399999984</c:v>
              </c:pt>
              <c:pt idx="17">
                <c:v>0.85632563199999989</c:v>
              </c:pt>
              <c:pt idx="18">
                <c:v>0.87065164800000039</c:v>
              </c:pt>
              <c:pt idx="19">
                <c:v>0.88480537599999987</c:v>
              </c:pt>
              <c:pt idx="20">
                <c:v>0.89939200000000019</c:v>
              </c:pt>
              <c:pt idx="21">
                <c:v>0.91501670400000057</c:v>
              </c:pt>
              <c:pt idx="22">
                <c:v>0.93228467199999976</c:v>
              </c:pt>
              <c:pt idx="23">
                <c:v>0.95180108800000007</c:v>
              </c:pt>
              <c:pt idx="24">
                <c:v>0.97417113600000027</c:v>
              </c:pt>
              <c:pt idx="25">
                <c:v>1.0000000000000002</c:v>
              </c:pt>
            </c:numLit>
          </c:yVal>
          <c:smooth val="0"/>
          <c:extLst>
            <c:ext xmlns:c16="http://schemas.microsoft.com/office/drawing/2014/chart" uri="{C3380CC4-5D6E-409C-BE32-E72D297353CC}">
              <c16:uniqueId val="{00000000-E142-4BD6-A2B0-4BEF91D6B2E2}"/>
            </c:ext>
          </c:extLst>
        </c:ser>
        <c:ser>
          <c:idx val="1"/>
          <c:order val="1"/>
          <c:spPr>
            <a:ln w="19050" cap="rnd">
              <a:solidFill>
                <a:schemeClr val="accent2"/>
              </a:solidFill>
              <a:round/>
            </a:ln>
            <a:effectLst/>
          </c:spPr>
          <c:marker>
            <c:symbol val="none"/>
          </c:marker>
          <c:xVal>
            <c:numLit>
              <c:formatCode>General</c:formatCode>
              <c:ptCount val="31"/>
              <c:pt idx="0">
                <c:v>0</c:v>
              </c:pt>
              <c:pt idx="1">
                <c:v>0.04</c:v>
              </c:pt>
              <c:pt idx="2">
                <c:v>0.08</c:v>
              </c:pt>
              <c:pt idx="3">
                <c:v>0.12</c:v>
              </c:pt>
              <c:pt idx="4">
                <c:v>0.16</c:v>
              </c:pt>
              <c:pt idx="5">
                <c:v>0.2</c:v>
              </c:pt>
              <c:pt idx="6">
                <c:v>0.24000000000000002</c:v>
              </c:pt>
              <c:pt idx="7">
                <c:v>0.28000000000000003</c:v>
              </c:pt>
              <c:pt idx="8">
                <c:v>0.32</c:v>
              </c:pt>
              <c:pt idx="9">
                <c:v>0.36</c:v>
              </c:pt>
              <c:pt idx="10">
                <c:v>0.39999999999999997</c:v>
              </c:pt>
              <c:pt idx="11">
                <c:v>0.43999999999999995</c:v>
              </c:pt>
              <c:pt idx="12">
                <c:v>0.47999999999999993</c:v>
              </c:pt>
              <c:pt idx="13">
                <c:v>0.51999999999999991</c:v>
              </c:pt>
              <c:pt idx="14">
                <c:v>0.55999999999999994</c:v>
              </c:pt>
              <c:pt idx="15">
                <c:v>0.6</c:v>
              </c:pt>
              <c:pt idx="16">
                <c:v>0.64</c:v>
              </c:pt>
              <c:pt idx="17">
                <c:v>0.68</c:v>
              </c:pt>
              <c:pt idx="18">
                <c:v>0.72000000000000008</c:v>
              </c:pt>
              <c:pt idx="19">
                <c:v>0.76000000000000012</c:v>
              </c:pt>
              <c:pt idx="20">
                <c:v>0.80000000000000016</c:v>
              </c:pt>
              <c:pt idx="21">
                <c:v>0.84000000000000019</c:v>
              </c:pt>
              <c:pt idx="22">
                <c:v>0.88000000000000023</c:v>
              </c:pt>
              <c:pt idx="23">
                <c:v>0.92000000000000026</c:v>
              </c:pt>
              <c:pt idx="24">
                <c:v>0.9600000000000003</c:v>
              </c:pt>
              <c:pt idx="25">
                <c:v>1.0000000000000002</c:v>
              </c:pt>
            </c:numLit>
          </c:xVal>
          <c:yVal>
            <c:numLit>
              <c:formatCode>General</c:formatCode>
              <c:ptCount val="31"/>
              <c:pt idx="0">
                <c:v>0</c:v>
              </c:pt>
              <c:pt idx="1">
                <c:v>9.3370854400000008E-2</c:v>
              </c:pt>
              <c:pt idx="2">
                <c:v>0.1778503552</c:v>
              </c:pt>
              <c:pt idx="3">
                <c:v>0.25395290879999999</c:v>
              </c:pt>
              <c:pt idx="4">
                <c:v>0.32219292160000002</c:v>
              </c:pt>
              <c:pt idx="5">
                <c:v>0.38308479999999995</c:v>
              </c:pt>
              <c:pt idx="6">
                <c:v>0.43714295040000001</c:v>
              </c:pt>
              <c:pt idx="7">
                <c:v>0.48488177920000008</c:v>
              </c:pt>
              <c:pt idx="8">
                <c:v>0.52681569279999996</c:v>
              </c:pt>
              <c:pt idx="9">
                <c:v>0.5634590975999999</c:v>
              </c:pt>
              <c:pt idx="10">
                <c:v>0.59532640000000003</c:v>
              </c:pt>
              <c:pt idx="11">
                <c:v>0.6229320063999999</c:v>
              </c:pt>
              <c:pt idx="12">
                <c:v>0.64679032319999996</c:v>
              </c:pt>
              <c:pt idx="13">
                <c:v>0.66741575679999987</c:v>
              </c:pt>
              <c:pt idx="14">
                <c:v>0.68532271359999997</c:v>
              </c:pt>
              <c:pt idx="15">
                <c:v>0.70102560000000014</c:v>
              </c:pt>
              <c:pt idx="16">
                <c:v>0.71503882239999983</c:v>
              </c:pt>
              <c:pt idx="17">
                <c:v>0.72787678719999993</c:v>
              </c:pt>
              <c:pt idx="18">
                <c:v>0.74005390080000033</c:v>
              </c:pt>
              <c:pt idx="19">
                <c:v>0.75208456959999992</c:v>
              </c:pt>
              <c:pt idx="20">
                <c:v>0.76448320000000014</c:v>
              </c:pt>
              <c:pt idx="21">
                <c:v>0.77776419840000044</c:v>
              </c:pt>
              <c:pt idx="22">
                <c:v>0.79244197119999982</c:v>
              </c:pt>
              <c:pt idx="23">
                <c:v>0.80903092480000005</c:v>
              </c:pt>
              <c:pt idx="24">
                <c:v>0.82804546560000025</c:v>
              </c:pt>
              <c:pt idx="25">
                <c:v>0.8500000000000002</c:v>
              </c:pt>
            </c:numLit>
          </c:yVal>
          <c:smooth val="0"/>
          <c:extLst>
            <c:ext xmlns:c16="http://schemas.microsoft.com/office/drawing/2014/chart" uri="{C3380CC4-5D6E-409C-BE32-E72D297353CC}">
              <c16:uniqueId val="{00000001-E142-4BD6-A2B0-4BEF91D6B2E2}"/>
            </c:ext>
          </c:extLst>
        </c:ser>
        <c:dLbls>
          <c:showLegendKey val="0"/>
          <c:showVal val="0"/>
          <c:showCatName val="0"/>
          <c:showSerName val="0"/>
          <c:showPercent val="0"/>
          <c:showBubbleSize val="0"/>
        </c:dLbls>
        <c:axId val="1715682864"/>
        <c:axId val="2024991488"/>
      </c:scatterChart>
      <c:valAx>
        <c:axId val="1715682864"/>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cf/c</a:t>
                </a:r>
                <a:r>
                  <a:rPr lang="en-US" altLang="ja-JP" baseline="0"/>
                  <a:t> [-]</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024991488"/>
        <c:crosses val="autoZero"/>
        <c:crossBetween val="midCat"/>
      </c:valAx>
      <c:valAx>
        <c:axId val="2024991488"/>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a:t>
                </a:r>
                <a:r>
                  <a:rPr lang="en-US" altLang="ja-JP"/>
                  <a:t>a0/</a:t>
                </a:r>
                <a:r>
                  <a:rPr lang="ja-JP" altLang="en-US"/>
                  <a:t>∂</a:t>
                </a:r>
                <a:r>
                  <a:rPr lang="en-US" altLang="ja-JP"/>
                  <a:t>δf</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15682864"/>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7.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5" Type="http://schemas.openxmlformats.org/officeDocument/2006/relationships/image" Target="../media/image10.png"/><Relationship Id="rId4" Type="http://schemas.openxmlformats.org/officeDocument/2006/relationships/image" Target="../media/image9.png"/></Relationships>
</file>

<file path=xl/drawings/_rels/drawing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png"/><Relationship Id="rId5" Type="http://schemas.openxmlformats.org/officeDocument/2006/relationships/image" Target="../media/image15.png"/><Relationship Id="rId4" Type="http://schemas.openxmlformats.org/officeDocument/2006/relationships/image" Target="../media/image14.png"/></Relationships>
</file>

<file path=xl/drawings/_rels/drawing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image" Target="../media/image16.png"/><Relationship Id="rId5" Type="http://schemas.openxmlformats.org/officeDocument/2006/relationships/image" Target="../media/image20.png"/><Relationship Id="rId4" Type="http://schemas.openxmlformats.org/officeDocument/2006/relationships/image" Target="../media/image19.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image" Target="../media/image16.png"/><Relationship Id="rId5" Type="http://schemas.openxmlformats.org/officeDocument/2006/relationships/image" Target="../media/image20.png"/><Relationship Id="rId4" Type="http://schemas.openxmlformats.org/officeDocument/2006/relationships/image" Target="../media/image19.png"/></Relationships>
</file>

<file path=xl/drawings/_rels/drawing12.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3.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image" Target="../media/image22.png"/><Relationship Id="rId1" Type="http://schemas.openxmlformats.org/officeDocument/2006/relationships/image" Target="../media/image21.png"/><Relationship Id="rId5" Type="http://schemas.openxmlformats.org/officeDocument/2006/relationships/image" Target="../media/image25.png"/><Relationship Id="rId4" Type="http://schemas.openxmlformats.org/officeDocument/2006/relationships/image" Target="../media/image24.png"/></Relationships>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6</xdr:col>
      <xdr:colOff>242661</xdr:colOff>
      <xdr:row>18</xdr:row>
      <xdr:rowOff>109769</xdr:rowOff>
    </xdr:from>
    <xdr:to>
      <xdr:col>21</xdr:col>
      <xdr:colOff>508381</xdr:colOff>
      <xdr:row>23</xdr:row>
      <xdr:rowOff>178500</xdr:rowOff>
    </xdr:to>
    <xdr:graphicFrame macro="">
      <xdr:nvGraphicFramePr>
        <xdr:cNvPr id="4" name="グラフ 24">
          <a:extLst>
            <a:ext uri="{FF2B5EF4-FFF2-40B4-BE49-F238E27FC236}">
              <a16:creationId xmlns:a16="http://schemas.microsoft.com/office/drawing/2014/main" id="{6F0750F4-762D-45CD-8CB8-8319AAC2AA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5158</xdr:colOff>
      <xdr:row>25</xdr:row>
      <xdr:rowOff>0</xdr:rowOff>
    </xdr:from>
    <xdr:to>
      <xdr:col>29</xdr:col>
      <xdr:colOff>0</xdr:colOff>
      <xdr:row>26</xdr:row>
      <xdr:rowOff>0</xdr:rowOff>
    </xdr:to>
    <xdr:sp macro="" textlink="">
      <xdr:nvSpPr>
        <xdr:cNvPr id="5" name="正方形/長方形 4">
          <a:extLst>
            <a:ext uri="{FF2B5EF4-FFF2-40B4-BE49-F238E27FC236}">
              <a16:creationId xmlns:a16="http://schemas.microsoft.com/office/drawing/2014/main" id="{BC982854-89AA-4102-A4F9-E0E5A3AE08CA}"/>
            </a:ext>
          </a:extLst>
        </xdr:cNvPr>
        <xdr:cNvSpPr/>
      </xdr:nvSpPr>
      <xdr:spPr>
        <a:xfrm>
          <a:off x="20626783" y="6238875"/>
          <a:ext cx="2385617" cy="24765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型紙出力（紙）</a:t>
          </a:r>
          <a:endParaRPr kumimoji="1" lang="en-US" altLang="ja-JP" sz="1100">
            <a:solidFill>
              <a:sysClr val="windowText" lastClr="000000"/>
            </a:solidFill>
          </a:endParaRPr>
        </a:p>
      </xdr:txBody>
    </xdr:sp>
    <xdr:clientData/>
  </xdr:twoCellAnchor>
  <xdr:twoCellAnchor>
    <xdr:from>
      <xdr:col>26</xdr:col>
      <xdr:colOff>0</xdr:colOff>
      <xdr:row>14</xdr:row>
      <xdr:rowOff>0</xdr:rowOff>
    </xdr:from>
    <xdr:to>
      <xdr:col>28</xdr:col>
      <xdr:colOff>0</xdr:colOff>
      <xdr:row>15</xdr:row>
      <xdr:rowOff>0</xdr:rowOff>
    </xdr:to>
    <xdr:sp macro="" textlink="">
      <xdr:nvSpPr>
        <xdr:cNvPr id="6" name="正方形/長方形 5">
          <a:extLst>
            <a:ext uri="{FF2B5EF4-FFF2-40B4-BE49-F238E27FC236}">
              <a16:creationId xmlns:a16="http://schemas.microsoft.com/office/drawing/2014/main" id="{BCDDF476-4BD4-4BBF-BF3A-26E3C38E7713}"/>
            </a:ext>
          </a:extLst>
        </xdr:cNvPr>
        <xdr:cNvSpPr/>
      </xdr:nvSpPr>
      <xdr:spPr>
        <a:xfrm>
          <a:off x="20621625" y="3495675"/>
          <a:ext cx="1524000" cy="24765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型紙プレビュー</a:t>
          </a:r>
          <a:endParaRPr kumimoji="1" lang="en-US" altLang="ja-JP" sz="1100">
            <a:solidFill>
              <a:sysClr val="windowText" lastClr="000000"/>
            </a:solidFill>
          </a:endParaRPr>
        </a:p>
      </xdr:txBody>
    </xdr:sp>
    <xdr:clientData/>
  </xdr:twoCellAnchor>
  <xdr:twoCellAnchor>
    <xdr:from>
      <xdr:col>26</xdr:col>
      <xdr:colOff>0</xdr:colOff>
      <xdr:row>26</xdr:row>
      <xdr:rowOff>245804</xdr:rowOff>
    </xdr:from>
    <xdr:to>
      <xdr:col>29</xdr:col>
      <xdr:colOff>0</xdr:colOff>
      <xdr:row>27</xdr:row>
      <xdr:rowOff>246528</xdr:rowOff>
    </xdr:to>
    <xdr:sp macro="" textlink="">
      <xdr:nvSpPr>
        <xdr:cNvPr id="7" name="正方形/長方形 6">
          <a:extLst>
            <a:ext uri="{FF2B5EF4-FFF2-40B4-BE49-F238E27FC236}">
              <a16:creationId xmlns:a16="http://schemas.microsoft.com/office/drawing/2014/main" id="{DCC1642A-787C-4D4C-BAD7-42418CCB82C8}"/>
            </a:ext>
          </a:extLst>
        </xdr:cNvPr>
        <xdr:cNvSpPr/>
      </xdr:nvSpPr>
      <xdr:spPr>
        <a:xfrm>
          <a:off x="20621625" y="6732329"/>
          <a:ext cx="2390775" cy="248374"/>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リブ付け用治具出力</a:t>
          </a:r>
          <a:endParaRPr kumimoji="1" lang="en-US" altLang="ja-JP" sz="1100">
            <a:solidFill>
              <a:sysClr val="windowText" lastClr="000000"/>
            </a:solidFill>
          </a:endParaRPr>
        </a:p>
      </xdr:txBody>
    </xdr:sp>
    <xdr:clientData/>
  </xdr:twoCellAnchor>
  <xdr:twoCellAnchor>
    <xdr:from>
      <xdr:col>26</xdr:col>
      <xdr:colOff>0</xdr:colOff>
      <xdr:row>28</xdr:row>
      <xdr:rowOff>0</xdr:rowOff>
    </xdr:from>
    <xdr:to>
      <xdr:col>29</xdr:col>
      <xdr:colOff>0</xdr:colOff>
      <xdr:row>29</xdr:row>
      <xdr:rowOff>0</xdr:rowOff>
    </xdr:to>
    <xdr:sp macro="" textlink="">
      <xdr:nvSpPr>
        <xdr:cNvPr id="8" name="正方形/長方形 7">
          <a:extLst>
            <a:ext uri="{FF2B5EF4-FFF2-40B4-BE49-F238E27FC236}">
              <a16:creationId xmlns:a16="http://schemas.microsoft.com/office/drawing/2014/main" id="{4E0B0879-DD95-444A-841B-DF1CCE5F60E3}"/>
            </a:ext>
          </a:extLst>
        </xdr:cNvPr>
        <xdr:cNvSpPr/>
      </xdr:nvSpPr>
      <xdr:spPr>
        <a:xfrm>
          <a:off x="20621625" y="6981825"/>
          <a:ext cx="2390775" cy="24765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バルサチップ出力</a:t>
          </a:r>
          <a:endParaRPr kumimoji="1" lang="en-US" altLang="ja-JP" sz="1100">
            <a:solidFill>
              <a:sysClr val="windowText" lastClr="000000"/>
            </a:solidFill>
          </a:endParaRPr>
        </a:p>
      </xdr:txBody>
    </xdr:sp>
    <xdr:clientData/>
  </xdr:twoCellAnchor>
  <xdr:twoCellAnchor>
    <xdr:from>
      <xdr:col>26</xdr:col>
      <xdr:colOff>0</xdr:colOff>
      <xdr:row>26</xdr:row>
      <xdr:rowOff>5074</xdr:rowOff>
    </xdr:from>
    <xdr:to>
      <xdr:col>29</xdr:col>
      <xdr:colOff>0</xdr:colOff>
      <xdr:row>27</xdr:row>
      <xdr:rowOff>1</xdr:rowOff>
    </xdr:to>
    <xdr:sp macro="" textlink="">
      <xdr:nvSpPr>
        <xdr:cNvPr id="9" name="正方形/長方形 8">
          <a:extLst>
            <a:ext uri="{FF2B5EF4-FFF2-40B4-BE49-F238E27FC236}">
              <a16:creationId xmlns:a16="http://schemas.microsoft.com/office/drawing/2014/main" id="{5A11D902-EB46-4BD4-95D5-4B0F4F1656E2}"/>
            </a:ext>
          </a:extLst>
        </xdr:cNvPr>
        <xdr:cNvSpPr/>
      </xdr:nvSpPr>
      <xdr:spPr>
        <a:xfrm>
          <a:off x="20621625" y="6491599"/>
          <a:ext cx="2390775" cy="242577"/>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型紙出力（レーザー）</a:t>
          </a:r>
          <a:endParaRPr kumimoji="1" lang="en-US" altLang="ja-JP" sz="1100">
            <a:solidFill>
              <a:sysClr val="windowText" lastClr="000000"/>
            </a:solidFill>
          </a:endParaRPr>
        </a:p>
      </xdr:txBody>
    </xdr:sp>
    <xdr:clientData/>
  </xdr:twoCellAnchor>
  <xdr:oneCellAnchor>
    <xdr:from>
      <xdr:col>1</xdr:col>
      <xdr:colOff>0</xdr:colOff>
      <xdr:row>2</xdr:row>
      <xdr:rowOff>0</xdr:rowOff>
    </xdr:from>
    <xdr:ext cx="3102429" cy="2735036"/>
    <xdr:sp macro="" textlink="">
      <xdr:nvSpPr>
        <xdr:cNvPr id="10" name="テキスト ボックス 9">
          <a:extLst>
            <a:ext uri="{FF2B5EF4-FFF2-40B4-BE49-F238E27FC236}">
              <a16:creationId xmlns:a16="http://schemas.microsoft.com/office/drawing/2014/main" id="{14814982-F497-4D6D-AE22-A466CF44102D}"/>
            </a:ext>
          </a:extLst>
        </xdr:cNvPr>
        <xdr:cNvSpPr txBox="1"/>
      </xdr:nvSpPr>
      <xdr:spPr>
        <a:xfrm>
          <a:off x="762000" y="495300"/>
          <a:ext cx="3102429" cy="2735036"/>
        </a:xfrm>
        <a:prstGeom prst="rect">
          <a:avLst/>
        </a:prstGeom>
        <a:solidFill>
          <a:schemeClr val="accent2">
            <a:lumMod val="20000"/>
            <a:lumOff val="80000"/>
          </a:schemeClr>
        </a:solidFill>
        <a:ln w="28575"/>
      </xdr:spPr>
      <xdr:style>
        <a:lnRef idx="2">
          <a:schemeClr val="dk1"/>
        </a:lnRef>
        <a:fillRef idx="1">
          <a:schemeClr val="lt1"/>
        </a:fillRef>
        <a:effectRef idx="0">
          <a:schemeClr val="dk1"/>
        </a:effectRef>
        <a:fontRef idx="minor">
          <a:schemeClr val="dk1"/>
        </a:fontRef>
      </xdr:style>
      <xdr:txBody>
        <a:bodyPr vertOverflow="clip" horzOverflow="clip" wrap="none" rtlCol="0" anchor="t">
          <a:noAutofit/>
        </a:bodyPr>
        <a:lstStyle/>
        <a:p>
          <a:r>
            <a:rPr kumimoji="1" lang="ja-JP" altLang="en-US" sz="1200"/>
            <a:t>主翼コンセプトをここに書く</a:t>
          </a:r>
          <a:endParaRPr kumimoji="1" lang="en-US" altLang="ja-JP" sz="1200"/>
        </a:p>
        <a:p>
          <a:endParaRPr kumimoji="1" lang="ja-JP" altLang="en-US" sz="1200"/>
        </a:p>
      </xdr:txBody>
    </xdr:sp>
    <xdr:clientData/>
  </xdr:oneCellAnchor>
  <mc:AlternateContent xmlns:mc="http://schemas.openxmlformats.org/markup-compatibility/2006">
    <mc:Choice xmlns:a14="http://schemas.microsoft.com/office/drawing/2010/main" Requires="a14">
      <xdr:twoCellAnchor>
        <xdr:from>
          <xdr:col>14</xdr:col>
          <xdr:colOff>676275</xdr:colOff>
          <xdr:row>1</xdr:row>
          <xdr:rowOff>238125</xdr:rowOff>
        </xdr:from>
        <xdr:to>
          <xdr:col>16</xdr:col>
          <xdr:colOff>9525</xdr:colOff>
          <xdr:row>3</xdr:row>
          <xdr:rowOff>19050</xdr:rowOff>
        </xdr:to>
        <xdr:sp macro="" textlink="">
          <xdr:nvSpPr>
            <xdr:cNvPr id="60421" name="Button 5" hidden="1">
              <a:extLst>
                <a:ext uri="{63B3BB69-23CF-44E3-9099-C40C66FF867C}">
                  <a14:compatExt spid="_x0000_s60421"/>
                </a:ext>
                <a:ext uri="{FF2B5EF4-FFF2-40B4-BE49-F238E27FC236}">
                  <a16:creationId xmlns:a16="http://schemas.microsoft.com/office/drawing/2014/main" id="{00000000-0008-0000-0000-000005E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LLT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657225</xdr:colOff>
          <xdr:row>16</xdr:row>
          <xdr:rowOff>228600</xdr:rowOff>
        </xdr:from>
        <xdr:to>
          <xdr:col>2</xdr:col>
          <xdr:colOff>0</xdr:colOff>
          <xdr:row>18</xdr:row>
          <xdr:rowOff>0</xdr:rowOff>
        </xdr:to>
        <xdr:sp macro="" textlink="">
          <xdr:nvSpPr>
            <xdr:cNvPr id="40970" name="Button 10" hidden="1">
              <a:extLst>
                <a:ext uri="{63B3BB69-23CF-44E3-9099-C40C66FF867C}">
                  <a14:compatExt spid="_x0000_s40970"/>
                </a:ext>
                <a:ext uri="{FF2B5EF4-FFF2-40B4-BE49-F238E27FC236}">
                  <a16:creationId xmlns:a16="http://schemas.microsoft.com/office/drawing/2014/main" id="{00000000-0008-0000-0100-00000AA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TR797実行</a:t>
              </a: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16</xdr:row>
          <xdr:rowOff>228600</xdr:rowOff>
        </xdr:from>
        <xdr:to>
          <xdr:col>3</xdr:col>
          <xdr:colOff>0</xdr:colOff>
          <xdr:row>18</xdr:row>
          <xdr:rowOff>0</xdr:rowOff>
        </xdr:to>
        <xdr:sp macro="" textlink="">
          <xdr:nvSpPr>
            <xdr:cNvPr id="40971" name="Button 11" hidden="1">
              <a:extLst>
                <a:ext uri="{63B3BB69-23CF-44E3-9099-C40C66FF867C}">
                  <a14:compatExt spid="_x0000_s40971"/>
                </a:ext>
                <a:ext uri="{FF2B5EF4-FFF2-40B4-BE49-F238E27FC236}">
                  <a16:creationId xmlns:a16="http://schemas.microsoft.com/office/drawing/2014/main" id="{00000000-0008-0000-0100-00000BA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LLT</a:t>
              </a: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LLT実行</a:t>
              </a:r>
            </a:p>
          </xdr:txBody>
        </xdr:sp>
        <xdr:clientData fPrintsWithSheet="0"/>
      </xdr:twoCellAnchor>
    </mc:Choice>
    <mc:Fallback/>
  </mc:AlternateContent>
  <xdr:twoCellAnchor>
    <xdr:from>
      <xdr:col>16</xdr:col>
      <xdr:colOff>191930</xdr:colOff>
      <xdr:row>18</xdr:row>
      <xdr:rowOff>174887</xdr:rowOff>
    </xdr:from>
    <xdr:to>
      <xdr:col>24</xdr:col>
      <xdr:colOff>80764</xdr:colOff>
      <xdr:row>29</xdr:row>
      <xdr:rowOff>211942</xdr:rowOff>
    </xdr:to>
    <xdr:graphicFrame macro="">
      <xdr:nvGraphicFramePr>
        <xdr:cNvPr id="6" name="グラフ 5">
          <a:extLst>
            <a:ext uri="{FF2B5EF4-FFF2-40B4-BE49-F238E27FC236}">
              <a16:creationId xmlns:a16="http://schemas.microsoft.com/office/drawing/2014/main" id="{A56E8287-7227-D943-BB03-93B794B7D9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657225</xdr:colOff>
          <xdr:row>35</xdr:row>
          <xdr:rowOff>228600</xdr:rowOff>
        </xdr:from>
        <xdr:to>
          <xdr:col>2</xdr:col>
          <xdr:colOff>0</xdr:colOff>
          <xdr:row>37</xdr:row>
          <xdr:rowOff>0</xdr:rowOff>
        </xdr:to>
        <xdr:sp macro="" textlink="">
          <xdr:nvSpPr>
            <xdr:cNvPr id="40975" name="Button 15" hidden="1">
              <a:extLst>
                <a:ext uri="{63B3BB69-23CF-44E3-9099-C40C66FF867C}">
                  <a14:compatExt spid="_x0000_s40975"/>
                </a:ext>
                <a:ext uri="{FF2B5EF4-FFF2-40B4-BE49-F238E27FC236}">
                  <a16:creationId xmlns:a16="http://schemas.microsoft.com/office/drawing/2014/main" id="{00000000-0008-0000-0100-00000FA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TR797実行</a:t>
              </a: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35</xdr:row>
          <xdr:rowOff>228600</xdr:rowOff>
        </xdr:from>
        <xdr:to>
          <xdr:col>3</xdr:col>
          <xdr:colOff>0</xdr:colOff>
          <xdr:row>37</xdr:row>
          <xdr:rowOff>0</xdr:rowOff>
        </xdr:to>
        <xdr:sp macro="" textlink="">
          <xdr:nvSpPr>
            <xdr:cNvPr id="40976" name="Button 16" hidden="1">
              <a:extLst>
                <a:ext uri="{63B3BB69-23CF-44E3-9099-C40C66FF867C}">
                  <a14:compatExt spid="_x0000_s40976"/>
                </a:ext>
                <a:ext uri="{FF2B5EF4-FFF2-40B4-BE49-F238E27FC236}">
                  <a16:creationId xmlns:a16="http://schemas.microsoft.com/office/drawing/2014/main" id="{00000000-0008-0000-0100-000010A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LLT実行</a:t>
              </a:r>
            </a:p>
          </xdr:txBody>
        </xdr:sp>
        <xdr:clientData fPrintsWithSheet="0"/>
      </xdr:twoCellAnchor>
    </mc:Choice>
    <mc:Fallback/>
  </mc:AlternateContent>
  <xdr:twoCellAnchor>
    <xdr:from>
      <xdr:col>15</xdr:col>
      <xdr:colOff>689652</xdr:colOff>
      <xdr:row>38</xdr:row>
      <xdr:rowOff>82740</xdr:rowOff>
    </xdr:from>
    <xdr:to>
      <xdr:col>23</xdr:col>
      <xdr:colOff>57791</xdr:colOff>
      <xdr:row>49</xdr:row>
      <xdr:rowOff>114270</xdr:rowOff>
    </xdr:to>
    <xdr:graphicFrame macro="">
      <xdr:nvGraphicFramePr>
        <xdr:cNvPr id="2" name="グラフ 1">
          <a:extLst>
            <a:ext uri="{FF2B5EF4-FFF2-40B4-BE49-F238E27FC236}">
              <a16:creationId xmlns:a16="http://schemas.microsoft.com/office/drawing/2014/main" id="{E7925358-E5F6-4F18-A31F-6E80A1367B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657225</xdr:colOff>
          <xdr:row>55</xdr:row>
          <xdr:rowOff>228600</xdr:rowOff>
        </xdr:from>
        <xdr:to>
          <xdr:col>2</xdr:col>
          <xdr:colOff>19050</xdr:colOff>
          <xdr:row>57</xdr:row>
          <xdr:rowOff>28575</xdr:rowOff>
        </xdr:to>
        <xdr:sp macro="" textlink="">
          <xdr:nvSpPr>
            <xdr:cNvPr id="40979" name="Button 19" hidden="1">
              <a:extLst>
                <a:ext uri="{63B3BB69-23CF-44E3-9099-C40C66FF867C}">
                  <a14:compatExt spid="_x0000_s40979"/>
                </a:ext>
                <a:ext uri="{FF2B5EF4-FFF2-40B4-BE49-F238E27FC236}">
                  <a16:creationId xmlns:a16="http://schemas.microsoft.com/office/drawing/2014/main" id="{00000000-0008-0000-0100-000013A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TR797実行</a:t>
              </a: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55</xdr:row>
          <xdr:rowOff>228600</xdr:rowOff>
        </xdr:from>
        <xdr:to>
          <xdr:col>3</xdr:col>
          <xdr:colOff>0</xdr:colOff>
          <xdr:row>57</xdr:row>
          <xdr:rowOff>28575</xdr:rowOff>
        </xdr:to>
        <xdr:sp macro="" textlink="">
          <xdr:nvSpPr>
            <xdr:cNvPr id="40980" name="Button 20" hidden="1">
              <a:extLst>
                <a:ext uri="{63B3BB69-23CF-44E3-9099-C40C66FF867C}">
                  <a14:compatExt spid="_x0000_s40980"/>
                </a:ext>
                <a:ext uri="{FF2B5EF4-FFF2-40B4-BE49-F238E27FC236}">
                  <a16:creationId xmlns:a16="http://schemas.microsoft.com/office/drawing/2014/main" id="{00000000-0008-0000-0100-000014A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LLT実行</a:t>
              </a:r>
            </a:p>
          </xdr:txBody>
        </xdr:sp>
        <xdr:clientData fPrintsWithSheet="0"/>
      </xdr:twoCellAnchor>
    </mc:Choice>
    <mc:Fallback/>
  </mc:AlternateContent>
  <xdr:twoCellAnchor>
    <xdr:from>
      <xdr:col>15</xdr:col>
      <xdr:colOff>885826</xdr:colOff>
      <xdr:row>58</xdr:row>
      <xdr:rowOff>64710</xdr:rowOff>
    </xdr:from>
    <xdr:to>
      <xdr:col>24</xdr:col>
      <xdr:colOff>97424</xdr:colOff>
      <xdr:row>69</xdr:row>
      <xdr:rowOff>104032</xdr:rowOff>
    </xdr:to>
    <xdr:graphicFrame macro="">
      <xdr:nvGraphicFramePr>
        <xdr:cNvPr id="3" name="グラフ 2">
          <a:extLst>
            <a:ext uri="{FF2B5EF4-FFF2-40B4-BE49-F238E27FC236}">
              <a16:creationId xmlns:a16="http://schemas.microsoft.com/office/drawing/2014/main" id="{081210E8-B0AE-48E2-937E-4273979AA4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5</xdr:col>
          <xdr:colOff>752475</xdr:colOff>
          <xdr:row>1</xdr:row>
          <xdr:rowOff>0</xdr:rowOff>
        </xdr:from>
        <xdr:to>
          <xdr:col>7</xdr:col>
          <xdr:colOff>657225</xdr:colOff>
          <xdr:row>2</xdr:row>
          <xdr:rowOff>19050</xdr:rowOff>
        </xdr:to>
        <xdr:sp macro="" textlink="">
          <xdr:nvSpPr>
            <xdr:cNvPr id="40983" name="Button 23" hidden="1">
              <a:extLst>
                <a:ext uri="{63B3BB69-23CF-44E3-9099-C40C66FF867C}">
                  <a14:compatExt spid="_x0000_s40983"/>
                </a:ext>
                <a:ext uri="{FF2B5EF4-FFF2-40B4-BE49-F238E27FC236}">
                  <a16:creationId xmlns:a16="http://schemas.microsoft.com/office/drawing/2014/main" id="{00000000-0008-0000-0100-000017A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TR797全実行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0</xdr:rowOff>
        </xdr:from>
        <xdr:to>
          <xdr:col>9</xdr:col>
          <xdr:colOff>0</xdr:colOff>
          <xdr:row>3</xdr:row>
          <xdr:rowOff>9525</xdr:rowOff>
        </xdr:to>
        <xdr:sp macro="" textlink="">
          <xdr:nvSpPr>
            <xdr:cNvPr id="100354" name="Button 2" hidden="1">
              <a:extLst>
                <a:ext uri="{63B3BB69-23CF-44E3-9099-C40C66FF867C}">
                  <a14:compatExt spid="_x0000_s100354"/>
                </a:ext>
                <a:ext uri="{FF2B5EF4-FFF2-40B4-BE49-F238E27FC236}">
                  <a16:creationId xmlns:a16="http://schemas.microsoft.com/office/drawing/2014/main" id="{00000000-0008-0000-0300-00000288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主翼解析</a:t>
              </a:r>
            </a:p>
          </xdr:txBody>
        </xdr:sp>
        <xdr:clientData fPrintsWithSheet="0"/>
      </xdr:twoCellAnchor>
    </mc:Choice>
    <mc:Fallback/>
  </mc:AlternateContent>
  <xdr:twoCellAnchor>
    <xdr:from>
      <xdr:col>1</xdr:col>
      <xdr:colOff>459070</xdr:colOff>
      <xdr:row>16</xdr:row>
      <xdr:rowOff>20903</xdr:rowOff>
    </xdr:from>
    <xdr:to>
      <xdr:col>8</xdr:col>
      <xdr:colOff>234973</xdr:colOff>
      <xdr:row>27</xdr:row>
      <xdr:rowOff>144727</xdr:rowOff>
    </xdr:to>
    <xdr:graphicFrame macro="">
      <xdr:nvGraphicFramePr>
        <xdr:cNvPr id="12" name="グラフ 11">
          <a:extLst>
            <a:ext uri="{FF2B5EF4-FFF2-40B4-BE49-F238E27FC236}">
              <a16:creationId xmlns:a16="http://schemas.microsoft.com/office/drawing/2014/main" id="{4364FDB4-9E67-3499-F6E8-AB5C66E028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605204</xdr:colOff>
      <xdr:row>15</xdr:row>
      <xdr:rowOff>157673</xdr:rowOff>
    </xdr:from>
    <xdr:to>
      <xdr:col>15</xdr:col>
      <xdr:colOff>384939</xdr:colOff>
      <xdr:row>27</xdr:row>
      <xdr:rowOff>44749</xdr:rowOff>
    </xdr:to>
    <xdr:graphicFrame macro="">
      <xdr:nvGraphicFramePr>
        <xdr:cNvPr id="13" name="グラフ 12">
          <a:extLst>
            <a:ext uri="{FF2B5EF4-FFF2-40B4-BE49-F238E27FC236}">
              <a16:creationId xmlns:a16="http://schemas.microsoft.com/office/drawing/2014/main" id="{B906E0F9-4845-4D3A-7DBC-976D7D45C7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73101</xdr:colOff>
      <xdr:row>16</xdr:row>
      <xdr:rowOff>47531</xdr:rowOff>
    </xdr:from>
    <xdr:to>
      <xdr:col>22</xdr:col>
      <xdr:colOff>539960</xdr:colOff>
      <xdr:row>27</xdr:row>
      <xdr:rowOff>135602</xdr:rowOff>
    </xdr:to>
    <xdr:graphicFrame macro="">
      <xdr:nvGraphicFramePr>
        <xdr:cNvPr id="14" name="グラフ 13">
          <a:extLst>
            <a:ext uri="{FF2B5EF4-FFF2-40B4-BE49-F238E27FC236}">
              <a16:creationId xmlns:a16="http://schemas.microsoft.com/office/drawing/2014/main" id="{A67AD8E3-FCE7-3B72-4DBD-6E172D6B6B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517071</xdr:colOff>
      <xdr:row>28</xdr:row>
      <xdr:rowOff>204107</xdr:rowOff>
    </xdr:from>
    <xdr:to>
      <xdr:col>8</xdr:col>
      <xdr:colOff>292974</xdr:colOff>
      <xdr:row>40</xdr:row>
      <xdr:rowOff>83003</xdr:rowOff>
    </xdr:to>
    <xdr:graphicFrame macro="">
      <xdr:nvGraphicFramePr>
        <xdr:cNvPr id="15" name="グラフ 14">
          <a:extLst>
            <a:ext uri="{FF2B5EF4-FFF2-40B4-BE49-F238E27FC236}">
              <a16:creationId xmlns:a16="http://schemas.microsoft.com/office/drawing/2014/main" id="{68F31BC9-E840-454B-B988-7CF504838E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0</xdr:colOff>
      <xdr:row>29</xdr:row>
      <xdr:rowOff>25744</xdr:rowOff>
    </xdr:from>
    <xdr:to>
      <xdr:col>15</xdr:col>
      <xdr:colOff>561072</xdr:colOff>
      <xdr:row>40</xdr:row>
      <xdr:rowOff>149568</xdr:rowOff>
    </xdr:to>
    <xdr:graphicFrame macro="">
      <xdr:nvGraphicFramePr>
        <xdr:cNvPr id="16" name="グラフ 15">
          <a:extLst>
            <a:ext uri="{FF2B5EF4-FFF2-40B4-BE49-F238E27FC236}">
              <a16:creationId xmlns:a16="http://schemas.microsoft.com/office/drawing/2014/main" id="{5FC9C97C-B370-4E91-957E-41D06B1460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46845</xdr:colOff>
      <xdr:row>29</xdr:row>
      <xdr:rowOff>78075</xdr:rowOff>
    </xdr:from>
    <xdr:to>
      <xdr:col>22</xdr:col>
      <xdr:colOff>513629</xdr:colOff>
      <xdr:row>40</xdr:row>
      <xdr:rowOff>201899</xdr:rowOff>
    </xdr:to>
    <xdr:graphicFrame macro="">
      <xdr:nvGraphicFramePr>
        <xdr:cNvPr id="17" name="グラフ 16">
          <a:extLst>
            <a:ext uri="{FF2B5EF4-FFF2-40B4-BE49-F238E27FC236}">
              <a16:creationId xmlns:a16="http://schemas.microsoft.com/office/drawing/2014/main" id="{33A83A32-8558-4556-B0BE-E629C9A644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10</xdr:col>
      <xdr:colOff>735934</xdr:colOff>
      <xdr:row>15</xdr:row>
      <xdr:rowOff>60831</xdr:rowOff>
    </xdr:from>
    <xdr:to>
      <xdr:col>24</xdr:col>
      <xdr:colOff>49248</xdr:colOff>
      <xdr:row>26</xdr:row>
      <xdr:rowOff>70078</xdr:rowOff>
    </xdr:to>
    <xdr:graphicFrame macro="">
      <xdr:nvGraphicFramePr>
        <xdr:cNvPr id="2" name="グラフ 1">
          <a:extLst>
            <a:ext uri="{FF2B5EF4-FFF2-40B4-BE49-F238E27FC236}">
              <a16:creationId xmlns:a16="http://schemas.microsoft.com/office/drawing/2014/main" id="{07BA73E1-7217-47BD-A887-3EF2469E52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177209</xdr:colOff>
      <xdr:row>26</xdr:row>
      <xdr:rowOff>132907</xdr:rowOff>
    </xdr:from>
    <xdr:to>
      <xdr:col>24</xdr:col>
      <xdr:colOff>177209</xdr:colOff>
      <xdr:row>37</xdr:row>
      <xdr:rowOff>132907</xdr:rowOff>
    </xdr:to>
    <xdr:graphicFrame macro="">
      <xdr:nvGraphicFramePr>
        <xdr:cNvPr id="5" name="グラフ 13">
          <a:extLst>
            <a:ext uri="{FF2B5EF4-FFF2-40B4-BE49-F238E27FC236}">
              <a16:creationId xmlns:a16="http://schemas.microsoft.com/office/drawing/2014/main" id="{C2DBF73A-9B93-4B1A-A90D-D39B727D7E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22151</xdr:colOff>
      <xdr:row>15</xdr:row>
      <xdr:rowOff>44303</xdr:rowOff>
    </xdr:from>
    <xdr:to>
      <xdr:col>38</xdr:col>
      <xdr:colOff>22150</xdr:colOff>
      <xdr:row>26</xdr:row>
      <xdr:rowOff>44303</xdr:rowOff>
    </xdr:to>
    <xdr:graphicFrame macro="">
      <xdr:nvGraphicFramePr>
        <xdr:cNvPr id="6" name="グラフ 8">
          <a:extLst>
            <a:ext uri="{FF2B5EF4-FFF2-40B4-BE49-F238E27FC236}">
              <a16:creationId xmlns:a16="http://schemas.microsoft.com/office/drawing/2014/main" id="{FAFF6E74-CEE3-4A65-AE5A-F14EEC9957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0</xdr:colOff>
      <xdr:row>26</xdr:row>
      <xdr:rowOff>0</xdr:rowOff>
    </xdr:from>
    <xdr:to>
      <xdr:col>38</xdr:col>
      <xdr:colOff>-1</xdr:colOff>
      <xdr:row>37</xdr:row>
      <xdr:rowOff>0</xdr:rowOff>
    </xdr:to>
    <xdr:graphicFrame macro="">
      <xdr:nvGraphicFramePr>
        <xdr:cNvPr id="7" name="グラフ 14">
          <a:extLst>
            <a:ext uri="{FF2B5EF4-FFF2-40B4-BE49-F238E27FC236}">
              <a16:creationId xmlns:a16="http://schemas.microsoft.com/office/drawing/2014/main" id="{781DB3A5-D875-4838-92ED-FF8AC5986F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9</xdr:col>
          <xdr:colOff>28575</xdr:colOff>
          <xdr:row>39</xdr:row>
          <xdr:rowOff>228600</xdr:rowOff>
        </xdr:from>
        <xdr:to>
          <xdr:col>10</xdr:col>
          <xdr:colOff>676275</xdr:colOff>
          <xdr:row>41</xdr:row>
          <xdr:rowOff>0</xdr:rowOff>
        </xdr:to>
        <xdr:sp macro="" textlink="">
          <xdr:nvSpPr>
            <xdr:cNvPr id="48131" name="Button 3" hidden="1">
              <a:extLst>
                <a:ext uri="{63B3BB69-23CF-44E3-9099-C40C66FF867C}">
                  <a14:compatExt spid="_x0000_s48131"/>
                </a:ext>
                <a:ext uri="{FF2B5EF4-FFF2-40B4-BE49-F238E27FC236}">
                  <a16:creationId xmlns:a16="http://schemas.microsoft.com/office/drawing/2014/main" id="{00000000-0008-0000-0400-000003B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断面二次モーメント</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3</xdr:row>
          <xdr:rowOff>247650</xdr:rowOff>
        </xdr:from>
        <xdr:to>
          <xdr:col>17</xdr:col>
          <xdr:colOff>0</xdr:colOff>
          <xdr:row>4</xdr:row>
          <xdr:rowOff>247650</xdr:rowOff>
        </xdr:to>
        <xdr:sp macro="" textlink="">
          <xdr:nvSpPr>
            <xdr:cNvPr id="3098" name="Button 26" hidden="1">
              <a:extLst>
                <a:ext uri="{63B3BB69-23CF-44E3-9099-C40C66FF867C}">
                  <a14:compatExt spid="_x0000_s3098"/>
                </a:ext>
                <a:ext uri="{FF2B5EF4-FFF2-40B4-BE49-F238E27FC236}">
                  <a16:creationId xmlns:a16="http://schemas.microsoft.com/office/drawing/2014/main" id="{00000000-0008-0000-0500-00001A0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翼型ファイル名読み込み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676275</xdr:colOff>
          <xdr:row>6</xdr:row>
          <xdr:rowOff>0</xdr:rowOff>
        </xdr:from>
        <xdr:to>
          <xdr:col>17</xdr:col>
          <xdr:colOff>0</xdr:colOff>
          <xdr:row>7</xdr:row>
          <xdr:rowOff>9525</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500-00001C0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翼型チェック</a:t>
              </a:r>
            </a:p>
          </xdr:txBody>
        </xdr:sp>
        <xdr:clientData fPrintsWithSheet="0"/>
      </xdr:twoCellAnchor>
    </mc:Choice>
    <mc:Fallback/>
  </mc:AlternateContent>
  <xdr:twoCellAnchor>
    <xdr:from>
      <xdr:col>15</xdr:col>
      <xdr:colOff>271837</xdr:colOff>
      <xdr:row>10</xdr:row>
      <xdr:rowOff>67853</xdr:rowOff>
    </xdr:from>
    <xdr:to>
      <xdr:col>21</xdr:col>
      <xdr:colOff>228600</xdr:colOff>
      <xdr:row>16</xdr:row>
      <xdr:rowOff>48432</xdr:rowOff>
    </xdr:to>
    <xdr:graphicFrame macro="">
      <xdr:nvGraphicFramePr>
        <xdr:cNvPr id="3" name="グラフ 2">
          <a:extLst>
            <a:ext uri="{FF2B5EF4-FFF2-40B4-BE49-F238E27FC236}">
              <a16:creationId xmlns:a16="http://schemas.microsoft.com/office/drawing/2014/main" id="{F511C7A7-8832-8BBA-4834-B5E85AFA7D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676275</xdr:colOff>
          <xdr:row>1</xdr:row>
          <xdr:rowOff>219075</xdr:rowOff>
        </xdr:from>
        <xdr:to>
          <xdr:col>7</xdr:col>
          <xdr:colOff>95250</xdr:colOff>
          <xdr:row>3</xdr:row>
          <xdr:rowOff>9525</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600-0000045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翼型性能近似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666750</xdr:colOff>
          <xdr:row>11</xdr:row>
          <xdr:rowOff>19050</xdr:rowOff>
        </xdr:from>
        <xdr:to>
          <xdr:col>16</xdr:col>
          <xdr:colOff>0</xdr:colOff>
          <xdr:row>12</xdr:row>
          <xdr:rowOff>28575</xdr:rowOff>
        </xdr:to>
        <xdr:sp macro="" textlink="">
          <xdr:nvSpPr>
            <xdr:cNvPr id="20488" name="Button 8" hidden="1">
              <a:extLst>
                <a:ext uri="{63B3BB69-23CF-44E3-9099-C40C66FF867C}">
                  <a14:compatExt spid="_x0000_s20488"/>
                </a:ext>
                <a:ext uri="{FF2B5EF4-FFF2-40B4-BE49-F238E27FC236}">
                  <a16:creationId xmlns:a16="http://schemas.microsoft.com/office/drawing/2014/main" id="{00000000-0008-0000-0600-0000085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幾何形状計算</a:t>
              </a:r>
            </a:p>
          </xdr:txBody>
        </xdr:sp>
        <xdr:clientData fPrintsWithSheet="0"/>
      </xdr:twoCellAnchor>
    </mc:Choice>
    <mc:Fallback/>
  </mc:AlternateContent>
  <xdr:twoCellAnchor editAs="oneCell">
    <xdr:from>
      <xdr:col>1</xdr:col>
      <xdr:colOff>108857</xdr:colOff>
      <xdr:row>14</xdr:row>
      <xdr:rowOff>13607</xdr:rowOff>
    </xdr:from>
    <xdr:to>
      <xdr:col>7</xdr:col>
      <xdr:colOff>49539</xdr:colOff>
      <xdr:row>29</xdr:row>
      <xdr:rowOff>16281</xdr:rowOff>
    </xdr:to>
    <xdr:pic>
      <xdr:nvPicPr>
        <xdr:cNvPr id="4" name="Cl_plot">
          <a:extLst>
            <a:ext uri="{FF2B5EF4-FFF2-40B4-BE49-F238E27FC236}">
              <a16:creationId xmlns:a16="http://schemas.microsoft.com/office/drawing/2014/main" id="{E8582009-7368-3197-262A-AB40CF96D4C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4657" y="3375932"/>
          <a:ext cx="4303132" cy="3593599"/>
        </a:xfrm>
        <a:prstGeom prst="rect">
          <a:avLst/>
        </a:prstGeom>
      </xdr:spPr>
    </xdr:pic>
    <xdr:clientData/>
  </xdr:twoCellAnchor>
  <xdr:twoCellAnchor editAs="oneCell">
    <xdr:from>
      <xdr:col>7</xdr:col>
      <xdr:colOff>28421</xdr:colOff>
      <xdr:row>14</xdr:row>
      <xdr:rowOff>83436</xdr:rowOff>
    </xdr:from>
    <xdr:to>
      <xdr:col>13</xdr:col>
      <xdr:colOff>183877</xdr:colOff>
      <xdr:row>29</xdr:row>
      <xdr:rowOff>68525</xdr:rowOff>
    </xdr:to>
    <xdr:pic>
      <xdr:nvPicPr>
        <xdr:cNvPr id="8" name="Cd_plot">
          <a:extLst>
            <a:ext uri="{FF2B5EF4-FFF2-40B4-BE49-F238E27FC236}">
              <a16:creationId xmlns:a16="http://schemas.microsoft.com/office/drawing/2014/main" id="{0FC7344E-CC16-4719-5831-36B1EC87CA3D}"/>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76671" y="3445761"/>
          <a:ext cx="4270256" cy="3576014"/>
        </a:xfrm>
        <a:prstGeom prst="rect">
          <a:avLst/>
        </a:prstGeom>
      </xdr:spPr>
    </xdr:pic>
    <xdr:clientData/>
  </xdr:twoCellAnchor>
  <xdr:twoCellAnchor editAs="oneCell">
    <xdr:from>
      <xdr:col>1</xdr:col>
      <xdr:colOff>55827</xdr:colOff>
      <xdr:row>29</xdr:row>
      <xdr:rowOff>181688</xdr:rowOff>
    </xdr:from>
    <xdr:to>
      <xdr:col>7</xdr:col>
      <xdr:colOff>74579</xdr:colOff>
      <xdr:row>44</xdr:row>
      <xdr:rowOff>203412</xdr:rowOff>
    </xdr:to>
    <xdr:pic>
      <xdr:nvPicPr>
        <xdr:cNvPr id="12" name="Cm_plot">
          <a:extLst>
            <a:ext uri="{FF2B5EF4-FFF2-40B4-BE49-F238E27FC236}">
              <a16:creationId xmlns:a16="http://schemas.microsoft.com/office/drawing/2014/main" id="{32EB74F3-6993-F5BD-9A93-4162BC8754E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41627" y="7134938"/>
          <a:ext cx="4381202" cy="3593599"/>
        </a:xfrm>
        <a:prstGeom prst="rect">
          <a:avLst/>
        </a:prstGeom>
      </xdr:spPr>
    </xdr:pic>
    <xdr:clientData/>
  </xdr:twoCellAnchor>
  <xdr:twoCellAnchor editAs="oneCell">
    <xdr:from>
      <xdr:col>7</xdr:col>
      <xdr:colOff>71457</xdr:colOff>
      <xdr:row>30</xdr:row>
      <xdr:rowOff>14414</xdr:rowOff>
    </xdr:from>
    <xdr:to>
      <xdr:col>13</xdr:col>
      <xdr:colOff>208625</xdr:colOff>
      <xdr:row>45</xdr:row>
      <xdr:rowOff>36137</xdr:rowOff>
    </xdr:to>
    <xdr:pic>
      <xdr:nvPicPr>
        <xdr:cNvPr id="14" name="LoverD_plot">
          <a:extLst>
            <a:ext uri="{FF2B5EF4-FFF2-40B4-BE49-F238E27FC236}">
              <a16:creationId xmlns:a16="http://schemas.microsoft.com/office/drawing/2014/main" id="{86F1488B-55F0-879C-B73B-C55E3B3C7B06}"/>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119707" y="7205789"/>
          <a:ext cx="4251968" cy="3593598"/>
        </a:xfrm>
        <a:prstGeom prst="rect">
          <a:avLst/>
        </a:prstGeom>
      </xdr:spPr>
    </xdr:pic>
    <xdr:clientData/>
  </xdr:twoCellAnchor>
  <xdr:twoCellAnchor editAs="oneCell">
    <xdr:from>
      <xdr:col>8</xdr:col>
      <xdr:colOff>0</xdr:colOff>
      <xdr:row>2</xdr:row>
      <xdr:rowOff>0</xdr:rowOff>
    </xdr:from>
    <xdr:to>
      <xdr:col>13</xdr:col>
      <xdr:colOff>438920</xdr:colOff>
      <xdr:row>4</xdr:row>
      <xdr:rowOff>200407</xdr:rowOff>
    </xdr:to>
    <xdr:pic>
      <xdr:nvPicPr>
        <xdr:cNvPr id="16" name="airfoil_plot">
          <a:extLst>
            <a:ext uri="{FF2B5EF4-FFF2-40B4-BE49-F238E27FC236}">
              <a16:creationId xmlns:a16="http://schemas.microsoft.com/office/drawing/2014/main" id="{1C4E586E-C48F-74CD-C76C-3F6DB3E0C1A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734050" y="476250"/>
          <a:ext cx="3867920" cy="67665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676275</xdr:colOff>
          <xdr:row>1</xdr:row>
          <xdr:rowOff>219075</xdr:rowOff>
        </xdr:from>
        <xdr:to>
          <xdr:col>7</xdr:col>
          <xdr:colOff>95250</xdr:colOff>
          <xdr:row>3</xdr:row>
          <xdr:rowOff>9525</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翼型性能近似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676275</xdr:colOff>
          <xdr:row>11</xdr:row>
          <xdr:rowOff>9525</xdr:rowOff>
        </xdr:from>
        <xdr:to>
          <xdr:col>15</xdr:col>
          <xdr:colOff>666750</xdr:colOff>
          <xdr:row>12</xdr:row>
          <xdr:rowOff>28575</xdr:rowOff>
        </xdr:to>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幾何形状</a:t>
              </a:r>
            </a:p>
          </xdr:txBody>
        </xdr:sp>
        <xdr:clientData fPrintsWithSheet="0"/>
      </xdr:twoCellAnchor>
    </mc:Choice>
    <mc:Fallback/>
  </mc:AlternateContent>
  <xdr:twoCellAnchor editAs="oneCell">
    <xdr:from>
      <xdr:col>2</xdr:col>
      <xdr:colOff>0</xdr:colOff>
      <xdr:row>14</xdr:row>
      <xdr:rowOff>0</xdr:rowOff>
    </xdr:from>
    <xdr:to>
      <xdr:col>8</xdr:col>
      <xdr:colOff>217</xdr:colOff>
      <xdr:row>29</xdr:row>
      <xdr:rowOff>2674</xdr:rowOff>
    </xdr:to>
    <xdr:pic>
      <xdr:nvPicPr>
        <xdr:cNvPr id="4" name="Cl_plot">
          <a:extLst>
            <a:ext uri="{FF2B5EF4-FFF2-40B4-BE49-F238E27FC236}">
              <a16:creationId xmlns:a16="http://schemas.microsoft.com/office/drawing/2014/main" id="{B0DC88BF-B284-F1C6-B350-AC1A99BEF25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1600" y="3362325"/>
          <a:ext cx="4381717" cy="3593599"/>
        </a:xfrm>
        <a:prstGeom prst="rect">
          <a:avLst/>
        </a:prstGeom>
      </xdr:spPr>
    </xdr:pic>
    <xdr:clientData/>
  </xdr:twoCellAnchor>
  <xdr:twoCellAnchor editAs="oneCell">
    <xdr:from>
      <xdr:col>8</xdr:col>
      <xdr:colOff>0</xdr:colOff>
      <xdr:row>14</xdr:row>
      <xdr:rowOff>0</xdr:rowOff>
    </xdr:from>
    <xdr:to>
      <xdr:col>14</xdr:col>
      <xdr:colOff>155456</xdr:colOff>
      <xdr:row>29</xdr:row>
      <xdr:rowOff>2674</xdr:rowOff>
    </xdr:to>
    <xdr:pic>
      <xdr:nvPicPr>
        <xdr:cNvPr id="8" name="Cd_plot">
          <a:extLst>
            <a:ext uri="{FF2B5EF4-FFF2-40B4-BE49-F238E27FC236}">
              <a16:creationId xmlns:a16="http://schemas.microsoft.com/office/drawing/2014/main" id="{ECF0D3C8-7392-43D5-8DF1-441A9058F932}"/>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753100" y="3362325"/>
          <a:ext cx="4270256" cy="3593599"/>
        </a:xfrm>
        <a:prstGeom prst="rect">
          <a:avLst/>
        </a:prstGeom>
      </xdr:spPr>
    </xdr:pic>
    <xdr:clientData/>
  </xdr:twoCellAnchor>
  <xdr:twoCellAnchor editAs="oneCell">
    <xdr:from>
      <xdr:col>1</xdr:col>
      <xdr:colOff>55827</xdr:colOff>
      <xdr:row>29</xdr:row>
      <xdr:rowOff>181688</xdr:rowOff>
    </xdr:from>
    <xdr:to>
      <xdr:col>7</xdr:col>
      <xdr:colOff>62820</xdr:colOff>
      <xdr:row>44</xdr:row>
      <xdr:rowOff>203412</xdr:rowOff>
    </xdr:to>
    <xdr:pic>
      <xdr:nvPicPr>
        <xdr:cNvPr id="12" name="Cm_plot">
          <a:extLst>
            <a:ext uri="{FF2B5EF4-FFF2-40B4-BE49-F238E27FC236}">
              <a16:creationId xmlns:a16="http://schemas.microsoft.com/office/drawing/2014/main" id="{B232C008-44D4-F203-93DF-F07C544A9F7C}"/>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41627" y="7134938"/>
          <a:ext cx="4388493" cy="3593599"/>
        </a:xfrm>
        <a:prstGeom prst="rect">
          <a:avLst/>
        </a:prstGeom>
      </xdr:spPr>
    </xdr:pic>
    <xdr:clientData/>
  </xdr:twoCellAnchor>
  <xdr:twoCellAnchor editAs="oneCell">
    <xdr:from>
      <xdr:col>7</xdr:col>
      <xdr:colOff>71457</xdr:colOff>
      <xdr:row>30</xdr:row>
      <xdr:rowOff>14414</xdr:rowOff>
    </xdr:from>
    <xdr:to>
      <xdr:col>13</xdr:col>
      <xdr:colOff>208625</xdr:colOff>
      <xdr:row>45</xdr:row>
      <xdr:rowOff>36137</xdr:rowOff>
    </xdr:to>
    <xdr:pic>
      <xdr:nvPicPr>
        <xdr:cNvPr id="14" name="LoverD_plot">
          <a:extLst>
            <a:ext uri="{FF2B5EF4-FFF2-40B4-BE49-F238E27FC236}">
              <a16:creationId xmlns:a16="http://schemas.microsoft.com/office/drawing/2014/main" id="{04C24ABD-8D58-F917-BD7C-C10F9FA5721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138757" y="7205789"/>
          <a:ext cx="4251968" cy="3593598"/>
        </a:xfrm>
        <a:prstGeom prst="rect">
          <a:avLst/>
        </a:prstGeom>
      </xdr:spPr>
    </xdr:pic>
    <xdr:clientData/>
  </xdr:twoCellAnchor>
  <xdr:twoCellAnchor editAs="oneCell">
    <xdr:from>
      <xdr:col>8</xdr:col>
      <xdr:colOff>0</xdr:colOff>
      <xdr:row>2</xdr:row>
      <xdr:rowOff>0</xdr:rowOff>
    </xdr:from>
    <xdr:to>
      <xdr:col>13</xdr:col>
      <xdr:colOff>438920</xdr:colOff>
      <xdr:row>4</xdr:row>
      <xdr:rowOff>200407</xdr:rowOff>
    </xdr:to>
    <xdr:pic>
      <xdr:nvPicPr>
        <xdr:cNvPr id="16" name="airfoil_plot">
          <a:extLst>
            <a:ext uri="{FF2B5EF4-FFF2-40B4-BE49-F238E27FC236}">
              <a16:creationId xmlns:a16="http://schemas.microsoft.com/office/drawing/2014/main" id="{9AA4716B-86B4-D679-A620-3D6E7DB7D25C}"/>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753100" y="476250"/>
          <a:ext cx="3867920" cy="67665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676275</xdr:colOff>
          <xdr:row>1</xdr:row>
          <xdr:rowOff>219075</xdr:rowOff>
        </xdr:from>
        <xdr:to>
          <xdr:col>7</xdr:col>
          <xdr:colOff>95250</xdr:colOff>
          <xdr:row>3</xdr:row>
          <xdr:rowOff>9525</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800-0000018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翼型性能近似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xdr:colOff>
          <xdr:row>10</xdr:row>
          <xdr:rowOff>219075</xdr:rowOff>
        </xdr:from>
        <xdr:to>
          <xdr:col>16</xdr:col>
          <xdr:colOff>19050</xdr:colOff>
          <xdr:row>11</xdr:row>
          <xdr:rowOff>228600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0800-0000038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幾何形状</a:t>
              </a:r>
            </a:p>
          </xdr:txBody>
        </xdr:sp>
        <xdr:clientData fPrintsWithSheet="0"/>
      </xdr:twoCellAnchor>
    </mc:Choice>
    <mc:Fallback/>
  </mc:AlternateContent>
  <xdr:twoCellAnchor editAs="oneCell">
    <xdr:from>
      <xdr:col>1</xdr:col>
      <xdr:colOff>40618</xdr:colOff>
      <xdr:row>14</xdr:row>
      <xdr:rowOff>68825</xdr:rowOff>
    </xdr:from>
    <xdr:to>
      <xdr:col>6</xdr:col>
      <xdr:colOff>666731</xdr:colOff>
      <xdr:row>29</xdr:row>
      <xdr:rowOff>53914</xdr:rowOff>
    </xdr:to>
    <xdr:pic>
      <xdr:nvPicPr>
        <xdr:cNvPr id="4" name="Cl_plot">
          <a:extLst>
            <a:ext uri="{FF2B5EF4-FFF2-40B4-BE49-F238E27FC236}">
              <a16:creationId xmlns:a16="http://schemas.microsoft.com/office/drawing/2014/main" id="{F106B218-FC71-C16C-2325-5A1733750975}"/>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6418" y="3431150"/>
          <a:ext cx="4302763" cy="3576014"/>
        </a:xfrm>
        <a:prstGeom prst="rect">
          <a:avLst/>
        </a:prstGeom>
      </xdr:spPr>
    </xdr:pic>
    <xdr:clientData/>
  </xdr:twoCellAnchor>
  <xdr:twoCellAnchor editAs="oneCell">
    <xdr:from>
      <xdr:col>7</xdr:col>
      <xdr:colOff>28421</xdr:colOff>
      <xdr:row>14</xdr:row>
      <xdr:rowOff>83436</xdr:rowOff>
    </xdr:from>
    <xdr:to>
      <xdr:col>13</xdr:col>
      <xdr:colOff>183877</xdr:colOff>
      <xdr:row>29</xdr:row>
      <xdr:rowOff>68525</xdr:rowOff>
    </xdr:to>
    <xdr:pic>
      <xdr:nvPicPr>
        <xdr:cNvPr id="8" name="Cd_plot">
          <a:extLst>
            <a:ext uri="{FF2B5EF4-FFF2-40B4-BE49-F238E27FC236}">
              <a16:creationId xmlns:a16="http://schemas.microsoft.com/office/drawing/2014/main" id="{E9FB37EA-E0AE-9169-23F9-124B057CF1A8}"/>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76671" y="3445761"/>
          <a:ext cx="4270256" cy="3576014"/>
        </a:xfrm>
        <a:prstGeom prst="rect">
          <a:avLst/>
        </a:prstGeom>
      </xdr:spPr>
    </xdr:pic>
    <xdr:clientData/>
  </xdr:twoCellAnchor>
  <xdr:twoCellAnchor editAs="oneCell">
    <xdr:from>
      <xdr:col>1</xdr:col>
      <xdr:colOff>55827</xdr:colOff>
      <xdr:row>29</xdr:row>
      <xdr:rowOff>181688</xdr:rowOff>
    </xdr:from>
    <xdr:to>
      <xdr:col>7</xdr:col>
      <xdr:colOff>74579</xdr:colOff>
      <xdr:row>44</xdr:row>
      <xdr:rowOff>203412</xdr:rowOff>
    </xdr:to>
    <xdr:pic>
      <xdr:nvPicPr>
        <xdr:cNvPr id="10" name="Cm_plot">
          <a:extLst>
            <a:ext uri="{FF2B5EF4-FFF2-40B4-BE49-F238E27FC236}">
              <a16:creationId xmlns:a16="http://schemas.microsoft.com/office/drawing/2014/main" id="{82170D7E-17FB-C4BD-B51B-A61F75EA83DA}"/>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41627" y="7134938"/>
          <a:ext cx="4381202" cy="3593599"/>
        </a:xfrm>
        <a:prstGeom prst="rect">
          <a:avLst/>
        </a:prstGeom>
      </xdr:spPr>
    </xdr:pic>
    <xdr:clientData/>
  </xdr:twoCellAnchor>
  <xdr:twoCellAnchor editAs="oneCell">
    <xdr:from>
      <xdr:col>7</xdr:col>
      <xdr:colOff>71457</xdr:colOff>
      <xdr:row>30</xdr:row>
      <xdr:rowOff>14414</xdr:rowOff>
    </xdr:from>
    <xdr:to>
      <xdr:col>13</xdr:col>
      <xdr:colOff>208625</xdr:colOff>
      <xdr:row>45</xdr:row>
      <xdr:rowOff>36137</xdr:rowOff>
    </xdr:to>
    <xdr:pic>
      <xdr:nvPicPr>
        <xdr:cNvPr id="13" name="LoverD_plot">
          <a:extLst>
            <a:ext uri="{FF2B5EF4-FFF2-40B4-BE49-F238E27FC236}">
              <a16:creationId xmlns:a16="http://schemas.microsoft.com/office/drawing/2014/main" id="{C9507991-A72C-842C-F43D-EF914983EC0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119707" y="7205789"/>
          <a:ext cx="4251968" cy="3593598"/>
        </a:xfrm>
        <a:prstGeom prst="rect">
          <a:avLst/>
        </a:prstGeom>
      </xdr:spPr>
    </xdr:pic>
    <xdr:clientData/>
  </xdr:twoCellAnchor>
  <xdr:twoCellAnchor editAs="oneCell">
    <xdr:from>
      <xdr:col>8</xdr:col>
      <xdr:colOff>0</xdr:colOff>
      <xdr:row>2</xdr:row>
      <xdr:rowOff>0</xdr:rowOff>
    </xdr:from>
    <xdr:to>
      <xdr:col>13</xdr:col>
      <xdr:colOff>438920</xdr:colOff>
      <xdr:row>4</xdr:row>
      <xdr:rowOff>200407</xdr:rowOff>
    </xdr:to>
    <xdr:pic>
      <xdr:nvPicPr>
        <xdr:cNvPr id="15" name="airfoil_plot">
          <a:extLst>
            <a:ext uri="{FF2B5EF4-FFF2-40B4-BE49-F238E27FC236}">
              <a16:creationId xmlns:a16="http://schemas.microsoft.com/office/drawing/2014/main" id="{0FB99758-C1D8-B70F-AF24-0A9784CFA83E}"/>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734050" y="476250"/>
          <a:ext cx="3867920" cy="67665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676275</xdr:colOff>
          <xdr:row>1</xdr:row>
          <xdr:rowOff>219075</xdr:rowOff>
        </xdr:from>
        <xdr:to>
          <xdr:col>7</xdr:col>
          <xdr:colOff>85725</xdr:colOff>
          <xdr:row>3</xdr:row>
          <xdr:rowOff>19050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翼型性能近似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666750</xdr:colOff>
          <xdr:row>10</xdr:row>
          <xdr:rowOff>228600</xdr:rowOff>
        </xdr:from>
        <xdr:to>
          <xdr:col>16</xdr:col>
          <xdr:colOff>9525</xdr:colOff>
          <xdr:row>11</xdr:row>
          <xdr:rowOff>228600</xdr:rowOff>
        </xdr:to>
        <xdr:sp macro="" textlink="">
          <xdr:nvSpPr>
            <xdr:cNvPr id="51203" name="Button 3"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幾何形状</a:t>
              </a:r>
            </a:p>
          </xdr:txBody>
        </xdr:sp>
        <xdr:clientData fPrintsWithSheet="0"/>
      </xdr:twoCellAnchor>
    </mc:Choice>
    <mc:Fallback/>
  </mc:AlternateContent>
  <xdr:twoCellAnchor editAs="oneCell">
    <xdr:from>
      <xdr:col>1</xdr:col>
      <xdr:colOff>40618</xdr:colOff>
      <xdr:row>14</xdr:row>
      <xdr:rowOff>68825</xdr:rowOff>
    </xdr:from>
    <xdr:to>
      <xdr:col>6</xdr:col>
      <xdr:colOff>666731</xdr:colOff>
      <xdr:row>29</xdr:row>
      <xdr:rowOff>53914</xdr:rowOff>
    </xdr:to>
    <xdr:pic>
      <xdr:nvPicPr>
        <xdr:cNvPr id="8" name="Cl_plot">
          <a:extLst>
            <a:ext uri="{FF2B5EF4-FFF2-40B4-BE49-F238E27FC236}">
              <a16:creationId xmlns:a16="http://schemas.microsoft.com/office/drawing/2014/main" id="{4C0DF9FF-A86E-70FB-C939-B7BB74AD1F8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6418" y="3431150"/>
          <a:ext cx="4302763" cy="3576014"/>
        </a:xfrm>
        <a:prstGeom prst="rect">
          <a:avLst/>
        </a:prstGeom>
      </xdr:spPr>
    </xdr:pic>
    <xdr:clientData/>
  </xdr:twoCellAnchor>
  <xdr:twoCellAnchor editAs="oneCell">
    <xdr:from>
      <xdr:col>7</xdr:col>
      <xdr:colOff>28421</xdr:colOff>
      <xdr:row>14</xdr:row>
      <xdr:rowOff>83436</xdr:rowOff>
    </xdr:from>
    <xdr:to>
      <xdr:col>13</xdr:col>
      <xdr:colOff>183877</xdr:colOff>
      <xdr:row>29</xdr:row>
      <xdr:rowOff>68525</xdr:rowOff>
    </xdr:to>
    <xdr:pic>
      <xdr:nvPicPr>
        <xdr:cNvPr id="10" name="Cd_plot">
          <a:extLst>
            <a:ext uri="{FF2B5EF4-FFF2-40B4-BE49-F238E27FC236}">
              <a16:creationId xmlns:a16="http://schemas.microsoft.com/office/drawing/2014/main" id="{88C8637A-289F-79AF-4283-1DA20A406716}"/>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76671" y="3445761"/>
          <a:ext cx="4270256" cy="3576014"/>
        </a:xfrm>
        <a:prstGeom prst="rect">
          <a:avLst/>
        </a:prstGeom>
      </xdr:spPr>
    </xdr:pic>
    <xdr:clientData/>
  </xdr:twoCellAnchor>
  <xdr:twoCellAnchor editAs="oneCell">
    <xdr:from>
      <xdr:col>1</xdr:col>
      <xdr:colOff>55827</xdr:colOff>
      <xdr:row>29</xdr:row>
      <xdr:rowOff>181688</xdr:rowOff>
    </xdr:from>
    <xdr:to>
      <xdr:col>7</xdr:col>
      <xdr:colOff>74579</xdr:colOff>
      <xdr:row>44</xdr:row>
      <xdr:rowOff>203412</xdr:rowOff>
    </xdr:to>
    <xdr:pic>
      <xdr:nvPicPr>
        <xdr:cNvPr id="12" name="Cm_plot">
          <a:extLst>
            <a:ext uri="{FF2B5EF4-FFF2-40B4-BE49-F238E27FC236}">
              <a16:creationId xmlns:a16="http://schemas.microsoft.com/office/drawing/2014/main" id="{B82C0F45-D785-DE87-8305-2E6B762C69D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41627" y="7134938"/>
          <a:ext cx="4381202" cy="3593599"/>
        </a:xfrm>
        <a:prstGeom prst="rect">
          <a:avLst/>
        </a:prstGeom>
      </xdr:spPr>
    </xdr:pic>
    <xdr:clientData/>
  </xdr:twoCellAnchor>
  <xdr:twoCellAnchor editAs="oneCell">
    <xdr:from>
      <xdr:col>7</xdr:col>
      <xdr:colOff>71457</xdr:colOff>
      <xdr:row>30</xdr:row>
      <xdr:rowOff>14414</xdr:rowOff>
    </xdr:from>
    <xdr:to>
      <xdr:col>13</xdr:col>
      <xdr:colOff>208625</xdr:colOff>
      <xdr:row>45</xdr:row>
      <xdr:rowOff>36137</xdr:rowOff>
    </xdr:to>
    <xdr:pic>
      <xdr:nvPicPr>
        <xdr:cNvPr id="14" name="LoverD_plot">
          <a:extLst>
            <a:ext uri="{FF2B5EF4-FFF2-40B4-BE49-F238E27FC236}">
              <a16:creationId xmlns:a16="http://schemas.microsoft.com/office/drawing/2014/main" id="{774CBF30-B5F7-DC33-C29A-5184F13C9E08}"/>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119707" y="7205789"/>
          <a:ext cx="4251968" cy="3593598"/>
        </a:xfrm>
        <a:prstGeom prst="rect">
          <a:avLst/>
        </a:prstGeom>
      </xdr:spPr>
    </xdr:pic>
    <xdr:clientData/>
  </xdr:twoCellAnchor>
  <xdr:twoCellAnchor editAs="oneCell">
    <xdr:from>
      <xdr:col>8</xdr:col>
      <xdr:colOff>0</xdr:colOff>
      <xdr:row>1</xdr:row>
      <xdr:rowOff>240482</xdr:rowOff>
    </xdr:from>
    <xdr:to>
      <xdr:col>13</xdr:col>
      <xdr:colOff>358366</xdr:colOff>
      <xdr:row>4</xdr:row>
      <xdr:rowOff>200407</xdr:rowOff>
    </xdr:to>
    <xdr:pic>
      <xdr:nvPicPr>
        <xdr:cNvPr id="16" name="airfoil_plot">
          <a:extLst>
            <a:ext uri="{FF2B5EF4-FFF2-40B4-BE49-F238E27FC236}">
              <a16:creationId xmlns:a16="http://schemas.microsoft.com/office/drawing/2014/main" id="{3FFE2CAC-FF8E-BD93-3E03-662F568AEE8D}"/>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724431" y="480965"/>
          <a:ext cx="3776992" cy="681373"/>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676275</xdr:colOff>
          <xdr:row>1</xdr:row>
          <xdr:rowOff>219075</xdr:rowOff>
        </xdr:from>
        <xdr:to>
          <xdr:col>7</xdr:col>
          <xdr:colOff>85725</xdr:colOff>
          <xdr:row>3</xdr:row>
          <xdr:rowOff>19050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A00-000001D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翼型性能近似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666750</xdr:colOff>
          <xdr:row>10</xdr:row>
          <xdr:rowOff>228600</xdr:rowOff>
        </xdr:from>
        <xdr:to>
          <xdr:col>16</xdr:col>
          <xdr:colOff>9525</xdr:colOff>
          <xdr:row>11</xdr:row>
          <xdr:rowOff>228600</xdr:rowOff>
        </xdr:to>
        <xdr:sp macro="" textlink="">
          <xdr:nvSpPr>
            <xdr:cNvPr id="53250" name="Button 2" hidden="1">
              <a:extLst>
                <a:ext uri="{63B3BB69-23CF-44E3-9099-C40C66FF867C}">
                  <a14:compatExt spid="_x0000_s53250"/>
                </a:ext>
                <a:ext uri="{FF2B5EF4-FFF2-40B4-BE49-F238E27FC236}">
                  <a16:creationId xmlns:a16="http://schemas.microsoft.com/office/drawing/2014/main" id="{00000000-0008-0000-0A00-000002D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幾何形状</a:t>
              </a:r>
            </a:p>
          </xdr:txBody>
        </xdr:sp>
        <xdr:clientData fPrintsWithSheet="0"/>
      </xdr:twoCellAnchor>
    </mc:Choice>
    <mc:Fallback/>
  </mc:AlternateContent>
  <xdr:twoCellAnchor editAs="oneCell">
    <xdr:from>
      <xdr:col>1</xdr:col>
      <xdr:colOff>40618</xdr:colOff>
      <xdr:row>14</xdr:row>
      <xdr:rowOff>68825</xdr:rowOff>
    </xdr:from>
    <xdr:to>
      <xdr:col>6</xdr:col>
      <xdr:colOff>666731</xdr:colOff>
      <xdr:row>29</xdr:row>
      <xdr:rowOff>53914</xdr:rowOff>
    </xdr:to>
    <xdr:pic>
      <xdr:nvPicPr>
        <xdr:cNvPr id="8" name="Cl_plot">
          <a:extLst>
            <a:ext uri="{FF2B5EF4-FFF2-40B4-BE49-F238E27FC236}">
              <a16:creationId xmlns:a16="http://schemas.microsoft.com/office/drawing/2014/main" id="{A036C68B-CD94-B551-8ED5-D8489F3358FC}"/>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6418" y="3431150"/>
          <a:ext cx="4302763" cy="3576014"/>
        </a:xfrm>
        <a:prstGeom prst="rect">
          <a:avLst/>
        </a:prstGeom>
      </xdr:spPr>
    </xdr:pic>
    <xdr:clientData/>
  </xdr:twoCellAnchor>
  <xdr:twoCellAnchor editAs="oneCell">
    <xdr:from>
      <xdr:col>7</xdr:col>
      <xdr:colOff>28421</xdr:colOff>
      <xdr:row>14</xdr:row>
      <xdr:rowOff>83436</xdr:rowOff>
    </xdr:from>
    <xdr:to>
      <xdr:col>13</xdr:col>
      <xdr:colOff>183877</xdr:colOff>
      <xdr:row>29</xdr:row>
      <xdr:rowOff>68525</xdr:rowOff>
    </xdr:to>
    <xdr:pic>
      <xdr:nvPicPr>
        <xdr:cNvPr id="10" name="Cd_plot">
          <a:extLst>
            <a:ext uri="{FF2B5EF4-FFF2-40B4-BE49-F238E27FC236}">
              <a16:creationId xmlns:a16="http://schemas.microsoft.com/office/drawing/2014/main" id="{F902D092-AABB-6E2B-E49F-452396B7AFDB}"/>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76671" y="3445761"/>
          <a:ext cx="4270256" cy="3576014"/>
        </a:xfrm>
        <a:prstGeom prst="rect">
          <a:avLst/>
        </a:prstGeom>
      </xdr:spPr>
    </xdr:pic>
    <xdr:clientData/>
  </xdr:twoCellAnchor>
  <xdr:twoCellAnchor editAs="oneCell">
    <xdr:from>
      <xdr:col>1</xdr:col>
      <xdr:colOff>55827</xdr:colOff>
      <xdr:row>29</xdr:row>
      <xdr:rowOff>181688</xdr:rowOff>
    </xdr:from>
    <xdr:to>
      <xdr:col>7</xdr:col>
      <xdr:colOff>74579</xdr:colOff>
      <xdr:row>44</xdr:row>
      <xdr:rowOff>203412</xdr:rowOff>
    </xdr:to>
    <xdr:pic>
      <xdr:nvPicPr>
        <xdr:cNvPr id="12" name="Cm_plot">
          <a:extLst>
            <a:ext uri="{FF2B5EF4-FFF2-40B4-BE49-F238E27FC236}">
              <a16:creationId xmlns:a16="http://schemas.microsoft.com/office/drawing/2014/main" id="{C2FB16DD-9A2B-57DA-B102-BFA7409ABFA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41627" y="7134938"/>
          <a:ext cx="4381202" cy="3593599"/>
        </a:xfrm>
        <a:prstGeom prst="rect">
          <a:avLst/>
        </a:prstGeom>
      </xdr:spPr>
    </xdr:pic>
    <xdr:clientData/>
  </xdr:twoCellAnchor>
  <xdr:twoCellAnchor editAs="oneCell">
    <xdr:from>
      <xdr:col>7</xdr:col>
      <xdr:colOff>71457</xdr:colOff>
      <xdr:row>30</xdr:row>
      <xdr:rowOff>14414</xdr:rowOff>
    </xdr:from>
    <xdr:to>
      <xdr:col>13</xdr:col>
      <xdr:colOff>208625</xdr:colOff>
      <xdr:row>45</xdr:row>
      <xdr:rowOff>36137</xdr:rowOff>
    </xdr:to>
    <xdr:pic>
      <xdr:nvPicPr>
        <xdr:cNvPr id="14" name="LoverD_plot">
          <a:extLst>
            <a:ext uri="{FF2B5EF4-FFF2-40B4-BE49-F238E27FC236}">
              <a16:creationId xmlns:a16="http://schemas.microsoft.com/office/drawing/2014/main" id="{C7964838-3D4C-5DBC-5FCE-0B3C395688E4}"/>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119707" y="7205789"/>
          <a:ext cx="4251968" cy="3593598"/>
        </a:xfrm>
        <a:prstGeom prst="rect">
          <a:avLst/>
        </a:prstGeom>
      </xdr:spPr>
    </xdr:pic>
    <xdr:clientData/>
  </xdr:twoCellAnchor>
  <xdr:twoCellAnchor editAs="oneCell">
    <xdr:from>
      <xdr:col>8</xdr:col>
      <xdr:colOff>0</xdr:colOff>
      <xdr:row>2</xdr:row>
      <xdr:rowOff>0</xdr:rowOff>
    </xdr:from>
    <xdr:to>
      <xdr:col>13</xdr:col>
      <xdr:colOff>438920</xdr:colOff>
      <xdr:row>4</xdr:row>
      <xdr:rowOff>200407</xdr:rowOff>
    </xdr:to>
    <xdr:pic>
      <xdr:nvPicPr>
        <xdr:cNvPr id="16" name="airfoil_plot">
          <a:extLst>
            <a:ext uri="{FF2B5EF4-FFF2-40B4-BE49-F238E27FC236}">
              <a16:creationId xmlns:a16="http://schemas.microsoft.com/office/drawing/2014/main" id="{118DE862-C056-E383-44FB-EA93DB3597E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734050" y="476250"/>
          <a:ext cx="3867920" cy="67665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2</xdr:row>
      <xdr:rowOff>1</xdr:rowOff>
    </xdr:from>
    <xdr:to>
      <xdr:col>5</xdr:col>
      <xdr:colOff>0</xdr:colOff>
      <xdr:row>10</xdr:row>
      <xdr:rowOff>1</xdr:rowOff>
    </xdr:to>
    <xdr:sp macro="" textlink="">
      <xdr:nvSpPr>
        <xdr:cNvPr id="2" name="テキスト ボックス 1">
          <a:extLst>
            <a:ext uri="{FF2B5EF4-FFF2-40B4-BE49-F238E27FC236}">
              <a16:creationId xmlns:a16="http://schemas.microsoft.com/office/drawing/2014/main" id="{FD7AE0CA-3A4E-4A71-8F6B-5784482526A1}"/>
            </a:ext>
          </a:extLst>
        </xdr:cNvPr>
        <xdr:cNvSpPr txBox="1"/>
      </xdr:nvSpPr>
      <xdr:spPr>
        <a:xfrm>
          <a:off x="742950" y="504826"/>
          <a:ext cx="3457575" cy="2000250"/>
        </a:xfrm>
        <a:prstGeom prst="rect">
          <a:avLst/>
        </a:prstGeom>
        <a:solidFill>
          <a:schemeClr val="accent2">
            <a:lumMod val="20000"/>
            <a:lumOff val="80000"/>
          </a:schemeClr>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kumimoji="1" lang="ja-JP" altLang="en-US" sz="1100"/>
            <a:t>・優勝！</a:t>
          </a:r>
          <a:endParaRPr kumimoji="1" lang="en-US" altLang="ja-JP" sz="1100"/>
        </a:p>
        <a:p>
          <a:endParaRPr kumimoji="1" lang="ja-JP" altLang="en-US" sz="1100"/>
        </a:p>
      </xdr:txBody>
    </xdr:sp>
    <xdr:clientData/>
  </xdr:twoCellAnchor>
  <xdr:twoCellAnchor>
    <xdr:from>
      <xdr:col>12</xdr:col>
      <xdr:colOff>0</xdr:colOff>
      <xdr:row>1</xdr:row>
      <xdr:rowOff>1</xdr:rowOff>
    </xdr:from>
    <xdr:to>
      <xdr:col>14</xdr:col>
      <xdr:colOff>0</xdr:colOff>
      <xdr:row>2</xdr:row>
      <xdr:rowOff>1</xdr:rowOff>
    </xdr:to>
    <xdr:sp macro="" textlink="">
      <xdr:nvSpPr>
        <xdr:cNvPr id="3" name="正方形/長方形 1">
          <a:extLst>
            <a:ext uri="{FF2B5EF4-FFF2-40B4-BE49-F238E27FC236}">
              <a16:creationId xmlns:a16="http://schemas.microsoft.com/office/drawing/2014/main" id="{1B12E27F-779C-4D08-B2EE-BBA72D205463}"/>
            </a:ext>
          </a:extLst>
        </xdr:cNvPr>
        <xdr:cNvSpPr/>
      </xdr:nvSpPr>
      <xdr:spPr>
        <a:xfrm>
          <a:off x="10191750" y="247651"/>
          <a:ext cx="1362075" cy="257175"/>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vert="horz" tIns="0" bIns="0" rtlCol="0" anchor="ctr"/>
        <a:lstStyle/>
        <a:p>
          <a:pPr algn="ctr"/>
          <a:r>
            <a:rPr kumimoji="1" lang="en-US" altLang="ja-JP" sz="1100">
              <a:solidFill>
                <a:sysClr val="windowText" lastClr="000000"/>
              </a:solidFill>
            </a:rPr>
            <a:t>dxf</a:t>
          </a:r>
          <a:r>
            <a:rPr kumimoji="1" lang="ja-JP" altLang="en-US" sz="1100">
              <a:solidFill>
                <a:sysClr val="windowText" lastClr="000000"/>
              </a:solidFill>
            </a:rPr>
            <a:t>ファイル出力</a:t>
          </a:r>
          <a:endParaRPr kumimoji="1" lang="en-US" altLang="ja-JP" sz="1100">
            <a:solidFill>
              <a:sysClr val="windowText" lastClr="000000"/>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11</xdr:col>
      <xdr:colOff>0</xdr:colOff>
      <xdr:row>41</xdr:row>
      <xdr:rowOff>0</xdr:rowOff>
    </xdr:from>
    <xdr:to>
      <xdr:col>18</xdr:col>
      <xdr:colOff>664028</xdr:colOff>
      <xdr:row>62</xdr:row>
      <xdr:rowOff>0</xdr:rowOff>
    </xdr:to>
    <xdr:graphicFrame macro="">
      <xdr:nvGraphicFramePr>
        <xdr:cNvPr id="2" name="グラフ 1">
          <a:extLst>
            <a:ext uri="{FF2B5EF4-FFF2-40B4-BE49-F238E27FC236}">
              <a16:creationId xmlns:a16="http://schemas.microsoft.com/office/drawing/2014/main" id="{709D8FA2-A1B7-470A-9A79-65DD8B3F4C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676275</xdr:colOff>
          <xdr:row>1</xdr:row>
          <xdr:rowOff>219075</xdr:rowOff>
        </xdr:from>
        <xdr:to>
          <xdr:col>7</xdr:col>
          <xdr:colOff>95250</xdr:colOff>
          <xdr:row>3</xdr:row>
          <xdr:rowOff>9525</xdr:rowOff>
        </xdr:to>
        <xdr:sp macro="" textlink="">
          <xdr:nvSpPr>
            <xdr:cNvPr id="92161" name="Button 1" hidden="1">
              <a:extLst>
                <a:ext uri="{63B3BB69-23CF-44E3-9099-C40C66FF867C}">
                  <a14:compatExt spid="_x0000_s92161"/>
                </a:ext>
                <a:ext uri="{FF2B5EF4-FFF2-40B4-BE49-F238E27FC236}">
                  <a16:creationId xmlns:a16="http://schemas.microsoft.com/office/drawing/2014/main" id="{00000000-0008-0000-1100-00000168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翼型性能近似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666750</xdr:colOff>
          <xdr:row>11</xdr:row>
          <xdr:rowOff>19050</xdr:rowOff>
        </xdr:from>
        <xdr:to>
          <xdr:col>16</xdr:col>
          <xdr:colOff>0</xdr:colOff>
          <xdr:row>12</xdr:row>
          <xdr:rowOff>28575</xdr:rowOff>
        </xdr:to>
        <xdr:sp macro="" textlink="">
          <xdr:nvSpPr>
            <xdr:cNvPr id="92162" name="Button 2" hidden="1">
              <a:extLst>
                <a:ext uri="{63B3BB69-23CF-44E3-9099-C40C66FF867C}">
                  <a14:compatExt spid="_x0000_s92162"/>
                </a:ext>
                <a:ext uri="{FF2B5EF4-FFF2-40B4-BE49-F238E27FC236}">
                  <a16:creationId xmlns:a16="http://schemas.microsoft.com/office/drawing/2014/main" id="{00000000-0008-0000-1100-00000268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幾何形状計算</a:t>
              </a:r>
            </a:p>
          </xdr:txBody>
        </xdr:sp>
        <xdr:clientData fPrintsWithSheet="0"/>
      </xdr:twoCellAnchor>
    </mc:Choice>
    <mc:Fallback/>
  </mc:AlternateContent>
  <xdr:twoCellAnchor editAs="oneCell">
    <xdr:from>
      <xdr:col>1</xdr:col>
      <xdr:colOff>108857</xdr:colOff>
      <xdr:row>14</xdr:row>
      <xdr:rowOff>13607</xdr:rowOff>
    </xdr:from>
    <xdr:to>
      <xdr:col>7</xdr:col>
      <xdr:colOff>49539</xdr:colOff>
      <xdr:row>29</xdr:row>
      <xdr:rowOff>16281</xdr:rowOff>
    </xdr:to>
    <xdr:pic>
      <xdr:nvPicPr>
        <xdr:cNvPr id="8" name="Cl_plot">
          <a:extLst>
            <a:ext uri="{FF2B5EF4-FFF2-40B4-BE49-F238E27FC236}">
              <a16:creationId xmlns:a16="http://schemas.microsoft.com/office/drawing/2014/main" id="{9FCD79B5-BD72-56C5-044B-66FEA484022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4657" y="3375932"/>
          <a:ext cx="4303132" cy="3593599"/>
        </a:xfrm>
        <a:prstGeom prst="rect">
          <a:avLst/>
        </a:prstGeom>
      </xdr:spPr>
    </xdr:pic>
    <xdr:clientData/>
  </xdr:twoCellAnchor>
  <xdr:twoCellAnchor editAs="oneCell">
    <xdr:from>
      <xdr:col>7</xdr:col>
      <xdr:colOff>28421</xdr:colOff>
      <xdr:row>14</xdr:row>
      <xdr:rowOff>83436</xdr:rowOff>
    </xdr:from>
    <xdr:to>
      <xdr:col>13</xdr:col>
      <xdr:colOff>183877</xdr:colOff>
      <xdr:row>29</xdr:row>
      <xdr:rowOff>68525</xdr:rowOff>
    </xdr:to>
    <xdr:pic>
      <xdr:nvPicPr>
        <xdr:cNvPr id="10" name="Cd_plot">
          <a:extLst>
            <a:ext uri="{FF2B5EF4-FFF2-40B4-BE49-F238E27FC236}">
              <a16:creationId xmlns:a16="http://schemas.microsoft.com/office/drawing/2014/main" id="{DB84F897-FD5B-5B81-6CB7-DC9BB8D93067}"/>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76671" y="3445761"/>
          <a:ext cx="4270256" cy="3576014"/>
        </a:xfrm>
        <a:prstGeom prst="rect">
          <a:avLst/>
        </a:prstGeom>
      </xdr:spPr>
    </xdr:pic>
    <xdr:clientData/>
  </xdr:twoCellAnchor>
  <xdr:twoCellAnchor editAs="oneCell">
    <xdr:from>
      <xdr:col>1</xdr:col>
      <xdr:colOff>55827</xdr:colOff>
      <xdr:row>29</xdr:row>
      <xdr:rowOff>181688</xdr:rowOff>
    </xdr:from>
    <xdr:to>
      <xdr:col>7</xdr:col>
      <xdr:colOff>74579</xdr:colOff>
      <xdr:row>44</xdr:row>
      <xdr:rowOff>203412</xdr:rowOff>
    </xdr:to>
    <xdr:pic>
      <xdr:nvPicPr>
        <xdr:cNvPr id="12" name="Cm_plot">
          <a:extLst>
            <a:ext uri="{FF2B5EF4-FFF2-40B4-BE49-F238E27FC236}">
              <a16:creationId xmlns:a16="http://schemas.microsoft.com/office/drawing/2014/main" id="{E6648D9E-0385-A0AA-66AD-98B937DBC65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41627" y="7134938"/>
          <a:ext cx="4381202" cy="3593599"/>
        </a:xfrm>
        <a:prstGeom prst="rect">
          <a:avLst/>
        </a:prstGeom>
      </xdr:spPr>
    </xdr:pic>
    <xdr:clientData/>
  </xdr:twoCellAnchor>
  <xdr:twoCellAnchor editAs="oneCell">
    <xdr:from>
      <xdr:col>7</xdr:col>
      <xdr:colOff>71457</xdr:colOff>
      <xdr:row>30</xdr:row>
      <xdr:rowOff>14414</xdr:rowOff>
    </xdr:from>
    <xdr:to>
      <xdr:col>13</xdr:col>
      <xdr:colOff>208625</xdr:colOff>
      <xdr:row>45</xdr:row>
      <xdr:rowOff>36137</xdr:rowOff>
    </xdr:to>
    <xdr:pic>
      <xdr:nvPicPr>
        <xdr:cNvPr id="14" name="LoverD_plot">
          <a:extLst>
            <a:ext uri="{FF2B5EF4-FFF2-40B4-BE49-F238E27FC236}">
              <a16:creationId xmlns:a16="http://schemas.microsoft.com/office/drawing/2014/main" id="{211FE8B2-09F4-6E50-CE57-613F6AC668B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119707" y="7205789"/>
          <a:ext cx="4251968" cy="3593598"/>
        </a:xfrm>
        <a:prstGeom prst="rect">
          <a:avLst/>
        </a:prstGeom>
      </xdr:spPr>
    </xdr:pic>
    <xdr:clientData/>
  </xdr:twoCellAnchor>
  <xdr:twoCellAnchor editAs="oneCell">
    <xdr:from>
      <xdr:col>8</xdr:col>
      <xdr:colOff>0</xdr:colOff>
      <xdr:row>2</xdr:row>
      <xdr:rowOff>1</xdr:rowOff>
    </xdr:from>
    <xdr:to>
      <xdr:col>13</xdr:col>
      <xdr:colOff>438920</xdr:colOff>
      <xdr:row>4</xdr:row>
      <xdr:rowOff>7501</xdr:rowOff>
    </xdr:to>
    <xdr:pic>
      <xdr:nvPicPr>
        <xdr:cNvPr id="16" name="airfoil_plot">
          <a:extLst>
            <a:ext uri="{FF2B5EF4-FFF2-40B4-BE49-F238E27FC236}">
              <a16:creationId xmlns:a16="http://schemas.microsoft.com/office/drawing/2014/main" id="{65DB2ED5-2656-0AF5-39D3-0309AA9B5230}"/>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722500" y="480001"/>
          <a:ext cx="3851420" cy="4875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676275</xdr:colOff>
          <xdr:row>1</xdr:row>
          <xdr:rowOff>219075</xdr:rowOff>
        </xdr:from>
        <xdr:to>
          <xdr:col>7</xdr:col>
          <xdr:colOff>95250</xdr:colOff>
          <xdr:row>3</xdr:row>
          <xdr:rowOff>9525</xdr:rowOff>
        </xdr:to>
        <xdr:sp macro="" textlink="">
          <xdr:nvSpPr>
            <xdr:cNvPr id="76801" name="Button 1" hidden="1">
              <a:extLst>
                <a:ext uri="{63B3BB69-23CF-44E3-9099-C40C66FF867C}">
                  <a14:compatExt spid="_x0000_s76801"/>
                </a:ext>
                <a:ext uri="{FF2B5EF4-FFF2-40B4-BE49-F238E27FC236}">
                  <a16:creationId xmlns:a16="http://schemas.microsoft.com/office/drawing/2014/main" id="{00000000-0008-0000-1300-0000012C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翼型性能近似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666750</xdr:colOff>
          <xdr:row>11</xdr:row>
          <xdr:rowOff>19050</xdr:rowOff>
        </xdr:from>
        <xdr:to>
          <xdr:col>16</xdr:col>
          <xdr:colOff>0</xdr:colOff>
          <xdr:row>12</xdr:row>
          <xdr:rowOff>28575</xdr:rowOff>
        </xdr:to>
        <xdr:sp macro="" textlink="">
          <xdr:nvSpPr>
            <xdr:cNvPr id="76802" name="Button 2" hidden="1">
              <a:extLst>
                <a:ext uri="{63B3BB69-23CF-44E3-9099-C40C66FF867C}">
                  <a14:compatExt spid="_x0000_s76802"/>
                </a:ext>
                <a:ext uri="{FF2B5EF4-FFF2-40B4-BE49-F238E27FC236}">
                  <a16:creationId xmlns:a16="http://schemas.microsoft.com/office/drawing/2014/main" id="{00000000-0008-0000-1300-0000022C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幾何形状計算</a:t>
              </a:r>
            </a:p>
          </xdr:txBody>
        </xdr:sp>
        <xdr:clientData fPrintsWithSheet="0"/>
      </xdr:twoCellAnchor>
    </mc:Choice>
    <mc:Fallback/>
  </mc:AlternateContent>
  <xdr:twoCellAnchor editAs="oneCell">
    <xdr:from>
      <xdr:col>1</xdr:col>
      <xdr:colOff>108857</xdr:colOff>
      <xdr:row>14</xdr:row>
      <xdr:rowOff>13607</xdr:rowOff>
    </xdr:from>
    <xdr:to>
      <xdr:col>7</xdr:col>
      <xdr:colOff>49539</xdr:colOff>
      <xdr:row>29</xdr:row>
      <xdr:rowOff>16281</xdr:rowOff>
    </xdr:to>
    <xdr:pic>
      <xdr:nvPicPr>
        <xdr:cNvPr id="2" name="Cl_plot">
          <a:extLst>
            <a:ext uri="{FF2B5EF4-FFF2-40B4-BE49-F238E27FC236}">
              <a16:creationId xmlns:a16="http://schemas.microsoft.com/office/drawing/2014/main" id="{6DD07EA5-C5E2-4192-9168-2FD91E11F34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4657" y="3375932"/>
          <a:ext cx="4303132" cy="3593599"/>
        </a:xfrm>
        <a:prstGeom prst="rect">
          <a:avLst/>
        </a:prstGeom>
      </xdr:spPr>
    </xdr:pic>
    <xdr:clientData/>
  </xdr:twoCellAnchor>
  <xdr:twoCellAnchor editAs="oneCell">
    <xdr:from>
      <xdr:col>7</xdr:col>
      <xdr:colOff>28421</xdr:colOff>
      <xdr:row>14</xdr:row>
      <xdr:rowOff>83436</xdr:rowOff>
    </xdr:from>
    <xdr:to>
      <xdr:col>13</xdr:col>
      <xdr:colOff>183877</xdr:colOff>
      <xdr:row>29</xdr:row>
      <xdr:rowOff>68525</xdr:rowOff>
    </xdr:to>
    <xdr:pic>
      <xdr:nvPicPr>
        <xdr:cNvPr id="3" name="Cd_plot">
          <a:extLst>
            <a:ext uri="{FF2B5EF4-FFF2-40B4-BE49-F238E27FC236}">
              <a16:creationId xmlns:a16="http://schemas.microsoft.com/office/drawing/2014/main" id="{A8B41862-7398-471C-A346-510E40001052}"/>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76671" y="3445761"/>
          <a:ext cx="4270256" cy="3576014"/>
        </a:xfrm>
        <a:prstGeom prst="rect">
          <a:avLst/>
        </a:prstGeom>
      </xdr:spPr>
    </xdr:pic>
    <xdr:clientData/>
  </xdr:twoCellAnchor>
  <xdr:twoCellAnchor editAs="oneCell">
    <xdr:from>
      <xdr:col>1</xdr:col>
      <xdr:colOff>55827</xdr:colOff>
      <xdr:row>29</xdr:row>
      <xdr:rowOff>181688</xdr:rowOff>
    </xdr:from>
    <xdr:to>
      <xdr:col>7</xdr:col>
      <xdr:colOff>74579</xdr:colOff>
      <xdr:row>44</xdr:row>
      <xdr:rowOff>203412</xdr:rowOff>
    </xdr:to>
    <xdr:pic>
      <xdr:nvPicPr>
        <xdr:cNvPr id="4" name="Cm_plot">
          <a:extLst>
            <a:ext uri="{FF2B5EF4-FFF2-40B4-BE49-F238E27FC236}">
              <a16:creationId xmlns:a16="http://schemas.microsoft.com/office/drawing/2014/main" id="{DBA82213-CA35-45EB-9AAD-363B0608A448}"/>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41627" y="7134938"/>
          <a:ext cx="4381202" cy="3593599"/>
        </a:xfrm>
        <a:prstGeom prst="rect">
          <a:avLst/>
        </a:prstGeom>
      </xdr:spPr>
    </xdr:pic>
    <xdr:clientData/>
  </xdr:twoCellAnchor>
  <xdr:twoCellAnchor editAs="oneCell">
    <xdr:from>
      <xdr:col>7</xdr:col>
      <xdr:colOff>71457</xdr:colOff>
      <xdr:row>30</xdr:row>
      <xdr:rowOff>14414</xdr:rowOff>
    </xdr:from>
    <xdr:to>
      <xdr:col>13</xdr:col>
      <xdr:colOff>208625</xdr:colOff>
      <xdr:row>45</xdr:row>
      <xdr:rowOff>36137</xdr:rowOff>
    </xdr:to>
    <xdr:pic>
      <xdr:nvPicPr>
        <xdr:cNvPr id="5" name="LoverD_plot">
          <a:extLst>
            <a:ext uri="{FF2B5EF4-FFF2-40B4-BE49-F238E27FC236}">
              <a16:creationId xmlns:a16="http://schemas.microsoft.com/office/drawing/2014/main" id="{6E35DC59-A22A-4B37-B18A-37AE90CE00E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119707" y="7205789"/>
          <a:ext cx="4251968" cy="3593598"/>
        </a:xfrm>
        <a:prstGeom prst="rect">
          <a:avLst/>
        </a:prstGeom>
      </xdr:spPr>
    </xdr:pic>
    <xdr:clientData/>
  </xdr:twoCellAnchor>
  <xdr:twoCellAnchor editAs="oneCell">
    <xdr:from>
      <xdr:col>8</xdr:col>
      <xdr:colOff>0</xdr:colOff>
      <xdr:row>2</xdr:row>
      <xdr:rowOff>0</xdr:rowOff>
    </xdr:from>
    <xdr:to>
      <xdr:col>13</xdr:col>
      <xdr:colOff>438920</xdr:colOff>
      <xdr:row>4</xdr:row>
      <xdr:rowOff>200407</xdr:rowOff>
    </xdr:to>
    <xdr:pic>
      <xdr:nvPicPr>
        <xdr:cNvPr id="6" name="airfoil_plot">
          <a:extLst>
            <a:ext uri="{FF2B5EF4-FFF2-40B4-BE49-F238E27FC236}">
              <a16:creationId xmlns:a16="http://schemas.microsoft.com/office/drawing/2014/main" id="{C30C92EA-AB44-48A2-893C-0F50A2688AFB}"/>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734050" y="476250"/>
          <a:ext cx="3867920" cy="6766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mori hayato" id="{46FCD0A6-630F-48DF-95BE-3655418E59E5}" userId="mori hayato" providerId="None"/>
  <person displayName="蓮弥 髙橋" id="{CC415061-B3B1-4D3D-AF3B-3BEB2AA80AB6}" userId="a1d5dc1d336c8adf" providerId="Windows Live"/>
  <person displayName="TAKAHASHI Renya" id="{26759720-13BB-467A-88A6-93B89BC81D60}" userId="S::takahashi.renya.453@s.kyushu-u.ac.jp::2d561d66-5860-405a-8b92-27661e5cec33" providerId="AD"/>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K11" dT="2026-01-06T17:33:18.89" personId="{26759720-13BB-467A-88A6-93B89BC81D60}" id="{73C02AE0-FE45-4CD7-A58F-2F0FF58E9A69}">
    <text>基準リブ使わないなら関係ないよ</text>
  </threadedComment>
  <threadedComment ref="AK11" dT="2026-01-06T17:33:56.74" personId="{26759720-13BB-467A-88A6-93B89BC81D60}" id="{9C8D3902-0526-4AB9-ACA7-946EF05C6D37}" parentId="{73C02AE0-FE45-4CD7-A58F-2F0FF58E9A69}">
    <text>24では使っていたもの</text>
  </threadedComment>
  <threadedComment ref="G12" dT="2025-10-31T08:23:28.79" personId="{26759720-13BB-467A-88A6-93B89BC81D60}" id="{B0BDCE7B-6911-45F8-85C5-BAE2ADF66E31}">
    <text>ここまで入れればいい。ウィングレットは独自で出す。</text>
  </threadedComment>
</ThreadedComments>
</file>

<file path=xl/threadedComments/threadedComment2.xml><?xml version="1.0" encoding="utf-8"?>
<ThreadedComments xmlns="http://schemas.microsoft.com/office/spreadsheetml/2018/threadedcomments" xmlns:x="http://schemas.openxmlformats.org/spreadsheetml/2006/main">
  <threadedComment ref="G1" dT="2025-10-14T02:41:05.43" personId="{26759720-13BB-467A-88A6-93B89BC81D60}" id="{80656F77-A54B-4228-9389-5CE01CE4AECA}">
    <text>↓多少時間がかかる。</text>
  </threadedComment>
  <threadedComment ref="G1" dT="2025-12-31T04:44:43.18" personId="{26759720-13BB-467A-88A6-93B89BC81D60}" id="{00751F1F-79FA-4134-9A09-7AC837D0B994}" parentId="{80656F77-A54B-4228-9389-5CE01CE4AECA}">
    <text>ひとつずつだとはやい</text>
  </threadedComment>
  <threadedComment ref="Y1" dT="2025-10-15T14:18:54.86" personId="{26759720-13BB-467A-88A6-93B89BC81D60}" id="{42CD9957-B021-477B-945E-69294813D850}">
    <text>いい感じに重みづけしたのをいい感じにしたもの</text>
  </threadedComment>
  <threadedComment ref="Q3" dT="2025-10-13T09:13:59.93" personId="{26759720-13BB-467A-88A6-93B89BC81D60}" id="{DBA2E715-C6DE-4B6A-9344-8B4EDBB562A0}">
    <text>対角化用</text>
  </threadedComment>
  <threadedComment ref="Q3" dT="2025-10-13T09:17:47.29" personId="{26759720-13BB-467A-88A6-93B89BC81D60}" id="{FC9CBA34-0028-4790-8FF1-C1527BF77009}" parentId="{DBA2E715-C6DE-4B6A-9344-8B4EDBB562A0}">
    <text>必ずリブ位置に置かなければならない。
ウイングレット部は関係なし。</text>
  </threadedComment>
  <threadedComment ref="Q3" dT="2025-12-31T16:13:35.03" personId="{26759720-13BB-467A-88A6-93B89BC81D60}" id="{589448DB-3495-4C78-9698-28D82559FB72}" parentId="{DBA2E715-C6DE-4B6A-9344-8B4EDBB562A0}">
    <text>端リブの横でテーパー変わるとかやるとそこだけ別につけなきゃいけないとかなってだるいからやらない。</text>
  </threadedComment>
  <threadedComment ref="G4" dT="2025-10-13T09:00:30.62" personId="{26759720-13BB-467A-88A6-93B89BC81D60}" id="{32F0C305-CEEE-4029-802D-C765A444C3FE}">
    <text>曲げモーメントの制約
１なら楕円分布</text>
  </threadedComment>
  <threadedComment ref="H4" dT="2025-10-13T09:10:56.81" personId="{26759720-13BB-467A-88A6-93B89BC81D60}" id="{BF69C2CE-2003-4C1D-BE27-CCD1890BAB24}">
    <text>TR797から求める。</text>
  </threadedComment>
  <threadedComment ref="I4" dT="2025-10-13T09:11:32.17" personId="{26759720-13BB-467A-88A6-93B89BC81D60}" id="{695B7047-025F-4219-939C-6F00CF763CE4}">
    <text>適当でもいい。ロガーから考えるのがベスト。</text>
  </threadedComment>
  <threadedComment ref="N4" dT="2025-10-13T10:33:04.92" personId="{26759720-13BB-467A-88A6-93B89BC81D60}" id="{C544BE56-5035-4D43-9B48-21C302A6AB9E}">
    <text>勝手にやってくれる。コードが</text>
  </threadedComment>
  <threadedComment ref="S4" dT="2025-10-13T09:20:21.06" personId="{26759720-13BB-467A-88A6-93B89BC81D60}" id="{FE37AAB1-6935-4A25-B339-BC0331FFE78A}">
    <text>桁につける上反はテーパー点を選んでね。ウィングレットはどこでもよい。</text>
  </threadedComment>
  <threadedComment ref="B6" dT="2025-10-13T10:58:14.60" personId="{26759720-13BB-467A-88A6-93B89BC81D60}" id="{130B7127-9D16-4825-833A-C503E4BE0ED0}">
    <text xml:space="preserve">ここでは加速はおわっているものとしている。TR797で必要揚力を変えるのがめんどくさかったため。
不満なら改造してください。
</text>
  </threadedComment>
  <threadedComment ref="P10" dT="2025-10-13T09:51:12.97" personId="{26759720-13BB-467A-88A6-93B89BC81D60}" id="{1232F616-2051-48A0-B249-5AD99325C25B}">
    <text>ここまで桁につける。</text>
  </threadedComment>
  <threadedComment ref="Y10" dT="2025-10-13T09:51:12.97" personId="{26759720-13BB-467A-88A6-93B89BC81D60}" id="{CB43CD89-3E9B-4887-9D3D-9338FB1CE569}">
    <text>ここまで主翼</text>
  </threadedComment>
  <threadedComment ref="Y10" dT="2025-10-31T08:24:09.05" personId="{26759720-13BB-467A-88A6-93B89BC81D60}" id="{E409429A-3EA3-4C45-8192-E27024B057AF}" parentId="{CB43CD89-3E9B-4887-9D3D-9338FB1CE569}">
    <text>テーパー増やすと主翼の制作がだるくなる。やめとくのがよい。</text>
  </threadedComment>
  <threadedComment ref="B18" dT="2025-10-13T11:27:14.44" personId="{26759720-13BB-467A-88A6-93B89BC81D60}" id="{3B9C6CED-9D7A-4DD6-ADE5-C009E37E5FFB}">
    <text>ここは一つずつ実行</text>
  </threadedComment>
  <threadedComment ref="E20" dT="2026-01-02T06:02:40.46" personId="{26759720-13BB-467A-88A6-93B89BC81D60}" id="{462F56F3-859D-4F77-A35A-18BCAD2F353C}">
    <text>高速機作ろうとするとコード長減らしたくなるけど、それはできない。なぜなら桁おおきいから。絶対に桁径を小さくするべき。</text>
  </threadedComment>
  <threadedComment ref="L27" dT="2026-01-01T13:13:22.15" personId="{26759720-13BB-467A-88A6-93B89BC81D60}" id="{6BD8CE23-8DFC-45C7-828F-CB8043A78C24}">
    <text>LLTの687行目周辺を変えると出力を変えられる</text>
  </threadedComment>
  <threadedComment ref="B28" dT="2025-10-13T09:51:12.97" personId="{26759720-13BB-467A-88A6-93B89BC81D60}" id="{20E380B2-F64E-4B79-A857-9871076E614E}">
    <text>ここまで主翼</text>
  </threadedComment>
  <threadedComment ref="B37" dT="2025-10-13T11:27:14.44" personId="{26759720-13BB-467A-88A6-93B89BC81D60}" id="{4EA17104-0861-4D27-82C5-9C9D50B04C45}">
    <text>ここは一つずつ実行</text>
  </threadedComment>
  <threadedComment ref="L46" dT="2026-01-01T13:13:22.15" personId="{26759720-13BB-467A-88A6-93B89BC81D60}" id="{C7B889CB-71DD-4938-9843-B2696D5A3EAF}">
    <text>LLTの687行目周辺を変えると出力を変えられる</text>
  </threadedComment>
  <threadedComment ref="B47" dT="2025-10-13T09:51:12.97" personId="{26759720-13BB-467A-88A6-93B89BC81D60}" id="{363B51CD-16B4-4A6F-9788-A2A33B080CB0}">
    <text>ここまで主翼</text>
  </threadedComment>
  <threadedComment ref="B57" dT="2025-10-13T11:27:14.44" personId="{26759720-13BB-467A-88A6-93B89BC81D60}" id="{19984A32-D153-4D6F-8E29-4399DF73E761}">
    <text>ここは一つずつ実行</text>
  </threadedComment>
  <threadedComment ref="L66" dT="2026-01-01T13:13:22.15" personId="{26759720-13BB-467A-88A6-93B89BC81D60}" id="{303A530A-6DCD-49AE-8400-AF8826CE32A7}">
    <text>LLTの687行目周辺を変えると出力を変えられる</text>
  </threadedComment>
  <threadedComment ref="B67" dT="2025-10-13T09:51:12.97" personId="{26759720-13BB-467A-88A6-93B89BC81D60}" id="{4284116D-99D4-45DC-8293-C2B62385400C}">
    <text>ここまで主翼</text>
  </threadedComment>
  <threadedComment ref="M206" dT="2025-10-17T07:47:39.40" personId="{26759720-13BB-467A-88A6-93B89BC81D60}" id="{3CFE4C2F-BBCB-4A8E-97E4-A6A48F333DFC}">
    <text>たわみなし</text>
  </threadedComment>
  <threadedComment ref="O206" dT="2025-12-10T09:47:25.92" personId="{26759720-13BB-467A-88A6-93B89BC81D60}" id="{C53AA23B-AEE2-4708-B529-5A0438F6B6A0}">
    <text>単調でないのは、接合部の重さがあったり、翼素区間を一定で計算したいないからです。</text>
  </threadedComment>
  <threadedComment ref="O206" dT="2025-12-10T09:47:32.34" personId="{26759720-13BB-467A-88A6-93B89BC81D60}" id="{56A69556-4ADB-439A-AED2-BB8B214B9CBA}" parentId="{C53AA23B-AEE2-4708-B529-5A0438F6B6A0}">
    <text>多分。</text>
  </threadedComment>
  <threadedComment ref="Y206" dT="2025-10-17T07:47:39.40" personId="{26759720-13BB-467A-88A6-93B89BC81D60}" id="{4A09C0C3-70A8-4441-B994-7CA627D182E0}">
    <text>たわみなし</text>
  </threadedComment>
  <threadedComment ref="AA206" dT="2025-12-10T09:47:25.92" personId="{26759720-13BB-467A-88A6-93B89BC81D60}" id="{11EFF960-258C-40A9-936E-0BFD3F9618DF}">
    <text>単調でないのは、接合部の重さがあったり、翼素区間を一定で計算したいないからです。</text>
  </threadedComment>
  <threadedComment ref="AA206" dT="2025-12-10T09:47:32.34" personId="{26759720-13BB-467A-88A6-93B89BC81D60}" id="{75940298-0484-4E78-ACDA-28B21FD34CE2}" parentId="{11EFF960-258C-40A9-936E-0BFD3F9618DF}">
    <text>多分。</text>
  </threadedComment>
  <threadedComment ref="AK206" dT="2025-10-17T07:47:39.40" personId="{26759720-13BB-467A-88A6-93B89BC81D60}" id="{793555F7-F234-4C43-9BD0-1AAA01F8F915}">
    <text>たわみなし</text>
  </threadedComment>
  <threadedComment ref="AM206" dT="2025-12-10T09:47:25.92" personId="{26759720-13BB-467A-88A6-93B89BC81D60}" id="{925D63E7-ACA7-46CB-8217-814CD6AA70DC}">
    <text>単調でないのは、接合部の重さがあったり、翼素区間を一定で計算したいないからです。</text>
  </threadedComment>
  <threadedComment ref="AM206" dT="2025-12-10T09:47:32.34" personId="{26759720-13BB-467A-88A6-93B89BC81D60}" id="{B3DC29AB-A23A-4422-89E0-06F13A58E90F}" parentId="{925D63E7-ACA7-46CB-8217-814CD6AA70DC}">
    <text>多分。</text>
  </threadedComment>
</ThreadedComments>
</file>

<file path=xl/threadedComments/threadedComment3.xml><?xml version="1.0" encoding="utf-8"?>
<ThreadedComments xmlns="http://schemas.microsoft.com/office/spreadsheetml/2018/threadedcomments" xmlns:x="http://schemas.openxmlformats.org/spreadsheetml/2006/main">
  <threadedComment ref="W4" dT="2025-10-15T13:27:06.13" personId="{26759720-13BB-467A-88A6-93B89BC81D60}" id="{96DBEE28-D6EC-4E1B-8D8A-DA8C69B3C19D}">
    <text>さすまた抜きで</text>
  </threadedComment>
  <threadedComment ref="Y6" dT="2025-10-15T12:29:01.26" personId="{26759720-13BB-467A-88A6-93B89BC81D60}" id="{99DCDD6B-928A-4D6B-9C22-0783B40187DF}">
    <text>ここに実測できてないときは昨年の誤差とか入れてるといい気がする。</text>
  </threadedComment>
  <threadedComment ref="C8" dT="2025-10-15T05:29:54.44" personId="{26759720-13BB-467A-88A6-93B89BC81D60}" id="{6E1BD0AD-D47D-43F1-85FE-9BD3055C0B71}">
    <text>桁穴分抜いてにけど、まあがらすくろすとかということで。</text>
  </threadedComment>
  <threadedComment ref="Y11" dT="2025-11-05T07:34:21.16" personId="{26759720-13BB-467A-88A6-93B89BC81D60}" id="{1D633356-79EB-4482-BF9C-ECA883D65B95}">
    <text>上反部の積層で重量が変わる。</text>
  </threadedComment>
  <threadedComment ref="I19" dT="2025-10-15T12:42:47.71" personId="{26759720-13BB-467A-88A6-93B89BC81D60}" id="{CC46EB00-6FC0-4EE4-ADF9-1B4EB69CD0DA}">
    <text>いい感じに,わりかし適当だから誰か変えてほしい。</text>
  </threadedComment>
  <threadedComment ref="Y19" dT="2025-10-15T13:32:46.63" personId="{26759720-13BB-467A-88A6-93B89BC81D60}" id="{14D7CCFB-2799-4D24-8BA9-F947293203DF}">
    <text>推定値っていうより例年これくらいだからこれくらいにしてほしいという要望。</text>
  </threadedComment>
  <threadedComment ref="B37" dT="2025-10-15T05:16:19.33" personId="{26759720-13BB-467A-88A6-93B89BC81D60}" id="{6F536D44-CBCB-488D-BA7E-F76FAE1AB0C5}">
    <text>面積どのくらい減るか</text>
  </threadedComment>
  <threadedComment ref="B37" dT="2025-12-31T07:10:02.23" personId="{26759720-13BB-467A-88A6-93B89BC81D60}" id="{9E653E7B-8477-48C1-8794-7B9A39E875BE}" parentId="{6F536D44-CBCB-488D-BA7E-F76FAE1AB0C5}">
    <text>にくぬきで</text>
  </threadedComment>
  <threadedComment ref="D37" dT="2025-10-15T05:29:04.03" personId="{26759720-13BB-467A-88A6-93B89BC81D60}" id="{04FC8BD4-1034-41B9-87C4-18903E9EB8B5}">
    <text>前縁の方が重いだろうからちょっと足した。
コードにハーフリブ面積を計算するところをついかするといいかもしれない。</text>
  </threadedComment>
  <threadedComment ref="AO46" dT="2025-10-15T12:05:38.29" personId="{26759720-13BB-467A-88A6-93B89BC81D60}" id="{95DCAC82-DBBA-45BB-8B51-1669767E1FF1}">
    <text>いい感じに追加してください。</text>
  </threadedComment>
  <threadedComment ref="D49" dT="2025-10-15T04:29:42.75" personId="{26759720-13BB-467A-88A6-93B89BC81D60}" id="{0770A0E7-71EE-413D-B00F-7DC7C1D66C53}">
    <text>この行にはリブ１とリブ２の間のおもさが入っている。</text>
  </threadedComment>
</ThreadedComments>
</file>

<file path=xl/threadedComments/threadedComment4.xml><?xml version="1.0" encoding="utf-8"?>
<ThreadedComments xmlns="http://schemas.microsoft.com/office/spreadsheetml/2018/threadedcomments" xmlns:x="http://schemas.openxmlformats.org/spreadsheetml/2006/main">
  <threadedComment ref="T2" dT="2025-12-31T04:43:27.29" personId="{26759720-13BB-467A-88A6-93B89BC81D60}" id="{0231D4C7-BE7B-4C5E-A0E7-89DB07B1C3FD}">
    <text>いったん保存したいときとかにお勧め</text>
  </threadedComment>
  <threadedComment ref="T2" dT="2026-01-02T04:46:35.20" personId="{26759720-13BB-467A-88A6-93B89BC81D60}" id="{1A2F78A0-E96D-40BB-A91B-2C5128FBCD23}" parentId="{0231D4C7-BE7B-4C5E-A0E7-89DB07B1C3FD}">
    <text>値だけ張り付けて</text>
  </threadedComment>
  <threadedComment ref="J10" dT="2025-12-31T07:27:57.91" personId="{26759720-13BB-467A-88A6-93B89BC81D60}" id="{DC478031-70E2-4075-B948-6A7117663BA3}">
    <text>定常状態でCm=0になるようにすると、尾翼の取り付け角が小さくなるんじゃない？</text>
  </threadedComment>
  <threadedComment ref="J10" dT="2025-12-31T07:28:41.89" personId="{26759720-13BB-467A-88A6-93B89BC81D60}" id="{190EBA1C-156C-4678-95B8-DCC1540124AF}" parentId="{DC478031-70E2-4075-B948-6A7117663BA3}">
    <text>全体的にCmが小さくなるようにしてやるのでもいいとお思う。</text>
  </threadedComment>
  <threadedComment ref="J10" dT="2025-12-31T07:57:26.34" personId="{26759720-13BB-467A-88A6-93B89BC81D60}" id="{4E6817FB-0D5F-4F10-AA77-9A82FB18D01B}" parentId="{DC478031-70E2-4075-B948-6A7117663BA3}">
    <text>あと右肩下がりに</text>
  </threadedComment>
  <threadedComment ref="J10" dT="2025-12-31T07:59:04.29" personId="{26759720-13BB-467A-88A6-93B89BC81D60}" id="{017ECAED-3BAD-4FD4-9148-A24D57BFC300}" parentId="{DC478031-70E2-4075-B948-6A7117663BA3}">
    <text>全機で右肩さがりならいいのか？</text>
  </threadedComment>
  <threadedComment ref="B11" dT="2025-10-13T09:51:12.97" personId="{26759720-13BB-467A-88A6-93B89BC81D60}" id="{29F7746C-97DD-48D4-86B7-31EFAE9A6D0A}">
    <text>ここまで主翼</text>
  </threadedComment>
  <threadedComment ref="B11" dT="2025-10-31T08:24:09.05" personId="{26759720-13BB-467A-88A6-93B89BC81D60}" id="{BE25D5EC-D715-419A-A41E-4FDCB6BA8938}" parentId="{29F7746C-97DD-48D4-86B7-31EFAE9A6D0A}">
    <text>テーパー増やすと主翼の制作がだるくなる。やめとくのがよい。</text>
  </threadedComment>
  <threadedComment ref="T11" dT="2025-10-13T09:51:12.97" personId="{26759720-13BB-467A-88A6-93B89BC81D60}" id="{9AFC1A1F-52E9-40DD-B01E-BFECC9A43E59}">
    <text>ここまで主翼</text>
  </threadedComment>
  <threadedComment ref="T11" dT="2025-10-31T08:24:09.05" personId="{26759720-13BB-467A-88A6-93B89BC81D60}" id="{E78F65C2-6931-4463-850C-796867C47B21}" parentId="{9AFC1A1F-52E9-40DD-B01E-BFECC9A43E59}">
    <text>テーパー増やすと主翼の制作がだるくなる。やめとくのがよい。</text>
  </threadedComment>
  <threadedComment ref="M206" dT="2025-10-17T07:47:39.40" personId="{26759720-13BB-467A-88A6-93B89BC81D60}" id="{E2A8D54B-FBA7-4305-BAB2-E90F188CCFA5}">
    <text>たわみなし</text>
  </threadedComment>
</ThreadedComments>
</file>

<file path=xl/threadedComments/threadedComment5.xml><?xml version="1.0" encoding="utf-8"?>
<ThreadedComments xmlns="http://schemas.microsoft.com/office/spreadsheetml/2018/threadedcomments" xmlns:x="http://schemas.openxmlformats.org/spreadsheetml/2006/main">
  <threadedComment ref="F6" dT="2025-10-14T06:22:49.92" personId="{26759720-13BB-467A-88A6-93B89BC81D60}" id="{7DCA3C99-5C26-47BB-A94B-D71CFA800E47}">
    <text>構造シートから持ってきてください。</text>
  </threadedComment>
  <threadedComment ref="Y12" dT="2025-10-31T07:58:58.31" personId="{26759720-13BB-467A-88A6-93B89BC81D60}" id="{0F4AEDF2-121E-48C5-8035-9EC2493B97BC}">
    <text xml:space="preserve">式ちょっと変わってる。
</text>
  </threadedComment>
  <threadedComment ref="E42" dT="2025-10-14T08:00:06.69" personId="{26759720-13BB-467A-88A6-93B89BC81D60}" id="{A95CF9B6-E6BA-42FA-874D-219E83C1B36D}">
    <text>制作シート参照</text>
  </threadedComment>
  <threadedComment ref="AQ45" dT="2025-10-14T10:00:04.52" personId="{26759720-13BB-467A-88A6-93B89BC81D60}" id="{69E3DA86-A442-4342-AD01-6036767C9570}">
    <text>LLTでだす。</text>
  </threadedComment>
</ThreadedComments>
</file>

<file path=xl/threadedComments/threadedComment6.xml><?xml version="1.0" encoding="utf-8"?>
<ThreadedComments xmlns="http://schemas.microsoft.com/office/spreadsheetml/2018/threadedcomments" xmlns:x="http://schemas.openxmlformats.org/spreadsheetml/2006/main">
  <threadedComment ref="S5" dT="2025-10-13T10:41:37.06" personId="{26759720-13BB-467A-88A6-93B89BC81D60}" id="{FE433E0A-0444-4661-B2CA-D6BB6AAE9547}">
    <text>プルダウンなってるよ。</text>
  </threadedComment>
  <threadedComment ref="S5" dT="2025-10-15T14:11:44.34" personId="{26759720-13BB-467A-88A6-93B89BC81D60}" id="{C0214578-CF13-4E24-B16C-BF925DB8530D}" parentId="{FE433E0A-0444-4661-B2CA-D6BB6AAE9547}">
    <text>翼型ファイル読み込みでプルダウン増えるよ</text>
  </threadedComment>
  <threadedComment ref="B15" dT="2025-08-31T07:06:03.63" personId="{CC415061-B3B1-4D3D-AF3B-3BEB2AA80AB6}" id="{08A2125E-7183-41BA-B7CD-A028787427E7}">
    <text>コード長が固定されている</text>
  </threadedComment>
  <threadedComment ref="D21" dT="2025-08-31T07:05:23.36" personId="{CC415061-B3B1-4D3D-AF3B-3BEB2AA80AB6}" id="{17FDD505-8723-41E5-BD9A-C520C3DAD2DB}">
    <text>局所揚力係数は楕円分布から出している。</text>
  </threadedComment>
  <threadedComment ref="B22" dT="2025-08-30T01:49:03.95" personId="{CC415061-B3B1-4D3D-AF3B-3BEB2AA80AB6}" id="{D6C38502-47E9-4FAA-AE40-E51B1317B20C}">
    <text/>
  </threadedComment>
  <threadedComment ref="F23" dT="2025-08-31T07:00:19.77" personId="{CC415061-B3B1-4D3D-AF3B-3BEB2AA80AB6}" id="{A0FD1631-D8C5-4C93-A012-7217EB2F1379}">
    <text>フラット部分には幅がある。</text>
  </threadedComment>
  <threadedComment ref="D33" dT="2025-08-31T08:12:10.80" personId="{CC415061-B3B1-4D3D-AF3B-3BEB2AA80AB6}" id="{94736EBC-3F57-40E7-AB93-37686D99B47C}">
    <text>低速時つまり高Cl時は地面効果範囲内なのでそんなに気にせんでもよさそう</text>
  </threadedComment>
  <threadedComment ref="B43" dT="2025-08-31T11:01:52.65" personId="{CC415061-B3B1-4D3D-AF3B-3BEB2AA80AB6}" id="{EAC0DBEB-0272-4CB2-AB60-47EDD2B9A923}">
    <text>実際はTR797はもっと翼根に揚力寄っているのでClたかめ</text>
  </threadedComment>
</ThreadedComments>
</file>

<file path=xl/threadedComments/threadedComment7.xml><?xml version="1.0" encoding="utf-8"?>
<ThreadedComments xmlns="http://schemas.microsoft.com/office/spreadsheetml/2018/threadedcomments" xmlns:x="http://schemas.openxmlformats.org/spreadsheetml/2006/main">
  <threadedComment ref="F7" dT="2025-10-14T07:03:27.57" personId="{26759720-13BB-467A-88A6-93B89BC81D60}" id="{0AC94413-B80B-4648-AD49-DC850FBDF652}">
    <text xml:space="preserve">解析範囲使うところだけにしといたほうが精度はよくなる。
</text>
  </threadedComment>
</ThreadedComments>
</file>

<file path=xl/threadedComments/threadedComment8.xml><?xml version="1.0" encoding="utf-8"?>
<ThreadedComments xmlns="http://schemas.microsoft.com/office/spreadsheetml/2018/threadedcomments" xmlns:x="http://schemas.openxmlformats.org/spreadsheetml/2006/main">
  <threadedComment ref="L26" dT="2025-08-30T01:39:26.63" personId="{CC415061-B3B1-4D3D-AF3B-3BEB2AA80AB6}" id="{5E00AE0C-808D-4550-AF86-C10F067DE9B7}">
    <text>距離飛びたいとき</text>
  </threadedComment>
  <threadedComment ref="M26" dT="2025-08-30T01:39:40.48" personId="{CC415061-B3B1-4D3D-AF3B-3BEB2AA80AB6}" id="{1C33A88C-3BBE-431A-B292-E90C6EED8197}">
    <text>時間とびたいとき</text>
  </threadedComment>
</ThreadedComments>
</file>

<file path=xl/threadedComments/threadedComment9.xml><?xml version="1.0" encoding="utf-8"?>
<ThreadedComments xmlns="http://schemas.microsoft.com/office/spreadsheetml/2018/threadedcomments" xmlns:x="http://schemas.openxmlformats.org/spreadsheetml/2006/main">
  <threadedComment ref="G53" dT="2023-05-22T10:31:10.69" personId="{46FCD0A6-630F-48DF-95BE-3655418E59E5}" id="{DAF29594-C2F4-4A90-B52A-F5ADBAD8CD27}">
    <text>単位面積当たり繊維質量</text>
  </threadedComment>
  <threadedComment ref="B56" dT="2023-05-22T10:37:51.01" personId="{46FCD0A6-630F-48DF-95BE-3655418E59E5}" id="{C8954898-428E-4F0C-A4C7-306A9061A7C8}">
    <text>強度の物性値はMRX350G125Sのもの．
使っている炭素繊維，樹脂はMR380G150Sと同じものなので物性値はほぼ同等
(沖本)</text>
  </threadedComment>
  <threadedComment ref="N57" dT="2023-05-22T10:35:04.12" personId="{46FCD0A6-630F-48DF-95BE-3655418E59E5}" id="{E71368B3-4FEE-4458-A4F7-97D08402A252}">
    <text>ベッチの相反定理より</text>
  </threadedComment>
  <threadedComment ref="P57" dT="2023-05-22T10:35:28.88" personId="{46FCD0A6-630F-48DF-95BE-3655418E59E5}" id="{F1A6B4FB-9700-4224-B5FD-72809061D688}">
    <text>引張×0.9</text>
  </threadedComment>
  <threadedComment ref="Q57" dT="2023-05-22T10:35:54.25" personId="{46FCD0A6-630F-48DF-95BE-3655418E59E5}" id="{0A728E8D-B7D7-4B6A-91AC-CDB7334CA350}">
    <text>引張を参考</text>
  </threadedComment>
  <threadedComment ref="R57" dT="2023-05-22T10:36:36.97" personId="{46FCD0A6-630F-48DF-95BE-3655418E59E5}" id="{452B522D-9AA7-4FDC-B891-C051651DAF16}">
    <text>MR380G150Sを参考</text>
  </threadedComment>
  <threadedComment ref="S57" dT="2023-05-22T10:38:40.85" personId="{46FCD0A6-630F-48DF-95BE-3655418E59E5}" id="{8C279714-98DB-4E98-93A1-194B6DC80012}">
    <text>引張×1.1</text>
  </threadedComment>
  <threadedComment ref="T57" dT="2023-05-22T10:39:00.97" personId="{46FCD0A6-630F-48DF-95BE-3655418E59E5}" id="{5E7F24F9-F3BC-480C-B044-C6EF58B69576}">
    <text>引張を参考</text>
  </threadedComment>
  <threadedComment ref="U57" dT="2023-05-22T10:39:23.09" personId="{46FCD0A6-630F-48DF-95BE-3655418E59E5}" id="{F4A3EFF2-AD60-4698-8F9C-D55367C1C35C}">
    <text>MR380G150Sを参考</text>
  </threadedComment>
</ThreadedComments>
</file>

<file path=xl/threadedComments/threadedComment10.xml><?xml version="1.0" encoding="utf-8"?>
<ThreadedComments xmlns="http://schemas.microsoft.com/office/spreadsheetml/2018/threadedcomments" xmlns:x="http://schemas.openxmlformats.org/spreadsheetml/2006/main">
  <threadedComment ref="F7" dT="2025-10-14T07:03:27.57" personId="{26759720-13BB-467A-88A6-93B89BC81D60}" id="{5FD1A370-76D9-40B2-9A3D-FB1E877DD3A4}">
    <text xml:space="preserve">解析範囲使うところだけにしといたほうが精度はよくなる。
</text>
  </threadedComment>
</ThreadedComments>
</file>

<file path=xl/threadedComments/threadedComment11.xml><?xml version="1.0" encoding="utf-8"?>
<ThreadedComments xmlns="http://schemas.microsoft.com/office/spreadsheetml/2018/threadedcomments" xmlns:x="http://schemas.openxmlformats.org/spreadsheetml/2006/main">
  <threadedComment ref="F7" dT="2025-10-14T07:03:27.57" personId="{26759720-13BB-467A-88A6-93B89BC81D60}" id="{8BB2E310-AD76-4801-AE1C-DDFDA2926778}">
    <text xml:space="preserve">解析範囲使うところだけにしといたほうが精度はよくなる。
</text>
  </threadedComment>
</ThreadedComments>
</file>

<file path=xl/threadedComments/threadedComment12.xml><?xml version="1.0" encoding="utf-8"?>
<ThreadedComments xmlns="http://schemas.microsoft.com/office/spreadsheetml/2018/threadedcomments" xmlns:x="http://schemas.openxmlformats.org/spreadsheetml/2006/main">
  <threadedComment ref="D4" dT="2025-12-23T11:16:56.57" personId="{26759720-13BB-467A-88A6-93B89BC81D60}" id="{1AAC9F30-7557-48FF-859D-207CD06BB740}">
    <text>構造シートから引っ張ってきてね。</text>
  </threadedComment>
</ThreadedComments>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11" Type="http://schemas.microsoft.com/office/2017/10/relationships/threadedComment" Target="../threadedComments/threadedComment2.xml"/><Relationship Id="rId5" Type="http://schemas.openxmlformats.org/officeDocument/2006/relationships/ctrlProp" Target="../ctrlProps/ctrlProp4.xml"/><Relationship Id="rId10" Type="http://schemas.openxmlformats.org/officeDocument/2006/relationships/comments" Target="../comments2.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3.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5.vml"/><Relationship Id="rId1" Type="http://schemas.openxmlformats.org/officeDocument/2006/relationships/drawing" Target="../drawings/drawing4.xm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6.vml"/><Relationship Id="rId1" Type="http://schemas.openxmlformats.org/officeDocument/2006/relationships/drawing" Target="../drawings/drawing5.xml"/><Relationship Id="rId6" Type="http://schemas.microsoft.com/office/2017/10/relationships/threadedComment" Target="../threadedComments/threadedComment6.xml"/><Relationship Id="rId5" Type="http://schemas.openxmlformats.org/officeDocument/2006/relationships/comments" Target="../comments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7.vml"/><Relationship Id="rId1" Type="http://schemas.openxmlformats.org/officeDocument/2006/relationships/drawing" Target="../drawings/drawing6.xml"/><Relationship Id="rId6" Type="http://schemas.microsoft.com/office/2017/10/relationships/threadedComment" Target="../threadedComments/threadedComment7.xml"/><Relationship Id="rId5" Type="http://schemas.openxmlformats.org/officeDocument/2006/relationships/comments" Target="../comments7.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8.vml"/><Relationship Id="rId1" Type="http://schemas.openxmlformats.org/officeDocument/2006/relationships/drawing" Target="../drawings/drawing7.xml"/><Relationship Id="rId5" Type="http://schemas.openxmlformats.org/officeDocument/2006/relationships/comments" Target="../comments8.xml"/><Relationship Id="rId4"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8.xml"/><Relationship Id="rId5" Type="http://schemas.openxmlformats.org/officeDocument/2006/relationships/comments" Target="../comments9.xml"/><Relationship Id="rId4" Type="http://schemas.openxmlformats.org/officeDocument/2006/relationships/ctrlProp" Target="../ctrlProps/ctrlProp18.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0.vml"/><Relationship Id="rId1" Type="http://schemas.openxmlformats.org/officeDocument/2006/relationships/drawing" Target="../drawings/drawing9.xml"/><Relationship Id="rId5" Type="http://schemas.openxmlformats.org/officeDocument/2006/relationships/comments" Target="../comments10.xml"/><Relationship Id="rId4"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1.vml"/><Relationship Id="rId1" Type="http://schemas.openxmlformats.org/officeDocument/2006/relationships/drawing" Target="../drawings/drawing10.xml"/><Relationship Id="rId5" Type="http://schemas.openxmlformats.org/officeDocument/2006/relationships/comments" Target="../comments11.xml"/><Relationship Id="rId4" Type="http://schemas.openxmlformats.org/officeDocument/2006/relationships/ctrlProp" Target="../ctrlProps/ctrlProp22.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1.xml"/><Relationship Id="rId4" Type="http://schemas.microsoft.com/office/2017/10/relationships/threadedComment" Target="../threadedComments/threadedComment8.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6.xml.rels><?xml version="1.0" encoding="UTF-8" standalone="yes"?>
<Relationships xmlns="http://schemas.openxmlformats.org/package/2006/relationships"><Relationship Id="rId3" Type="http://schemas.openxmlformats.org/officeDocument/2006/relationships/hyperlink" Target="https://x.com/gradon_TBT/status/1834074358970810580" TargetMode="External"/><Relationship Id="rId2" Type="http://schemas.openxmlformats.org/officeDocument/2006/relationships/hyperlink" Target="https://unit.aist.go.jp/riem/lgl-apr/requirement/mass/approval/GravityAria_info2.pdf" TargetMode="External"/><Relationship Id="rId1" Type="http://schemas.openxmlformats.org/officeDocument/2006/relationships/hyperlink" Target="https://pigeon-poppo.com/standard-atmosphere/" TargetMode="External"/><Relationship Id="rId6" Type="http://schemas.microsoft.com/office/2017/10/relationships/threadedComment" Target="../threadedComments/threadedComment9.xm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5.vml"/><Relationship Id="rId1" Type="http://schemas.openxmlformats.org/officeDocument/2006/relationships/drawing" Target="../drawings/drawing13.xml"/><Relationship Id="rId6" Type="http://schemas.microsoft.com/office/2017/10/relationships/threadedComment" Target="../threadedComments/threadedComment10.xml"/><Relationship Id="rId5" Type="http://schemas.openxmlformats.org/officeDocument/2006/relationships/comments" Target="../comments15.xml"/><Relationship Id="rId4" Type="http://schemas.openxmlformats.org/officeDocument/2006/relationships/ctrlProp" Target="../ctrlProps/ctrlProp24.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6.vml"/><Relationship Id="rId1" Type="http://schemas.openxmlformats.org/officeDocument/2006/relationships/drawing" Target="../drawings/drawing14.xml"/><Relationship Id="rId6" Type="http://schemas.microsoft.com/office/2017/10/relationships/threadedComment" Target="../threadedComments/threadedComment11.xml"/><Relationship Id="rId5" Type="http://schemas.openxmlformats.org/officeDocument/2006/relationships/comments" Target="../comments16.xml"/><Relationship Id="rId4" Type="http://schemas.openxmlformats.org/officeDocument/2006/relationships/ctrlProp" Target="../ctrlProps/ctrlProp26.xml"/></Relationships>
</file>

<file path=xl/worksheets/_rels/sheet21.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8.xml"/><Relationship Id="rId1" Type="http://schemas.openxmlformats.org/officeDocument/2006/relationships/vmlDrawing" Target="../drawings/vmlDrawing1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57B2B-CFF4-4A8B-B5EA-C24530DE926E}">
  <sheetPr codeName="Sheet7">
    <tabColor theme="5" tint="0.79998168889431442"/>
  </sheetPr>
  <dimension ref="A1:BO252"/>
  <sheetViews>
    <sheetView tabSelected="1" topLeftCell="C4" zoomScale="109" zoomScaleNormal="90" workbookViewId="0">
      <selection activeCell="AP9" sqref="AP9"/>
    </sheetView>
  </sheetViews>
  <sheetFormatPr defaultRowHeight="18.75"/>
  <cols>
    <col min="2" max="3" width="9.125" bestFit="1" customWidth="1"/>
    <col min="4" max="4" width="11" bestFit="1" customWidth="1"/>
    <col min="5" max="5" width="9.125" bestFit="1" customWidth="1"/>
    <col min="9" max="9" width="12.75" bestFit="1" customWidth="1"/>
    <col min="10" max="10" width="9.875" bestFit="1" customWidth="1"/>
    <col min="11" max="11" width="9.25" bestFit="1" customWidth="1"/>
    <col min="12" max="13" width="9.125" bestFit="1" customWidth="1"/>
    <col min="14" max="15" width="11.625" bestFit="1" customWidth="1"/>
    <col min="16" max="42" width="14.125" bestFit="1" customWidth="1"/>
    <col min="43" max="46" width="11.625" bestFit="1" customWidth="1"/>
    <col min="50" max="64" width="9.125" bestFit="1" customWidth="1"/>
    <col min="65" max="66" width="13.75" bestFit="1" customWidth="1"/>
    <col min="67" max="69" width="9.125" bestFit="1" customWidth="1"/>
  </cols>
  <sheetData>
    <row r="1" spans="1:66">
      <c r="A1" s="23"/>
      <c r="B1" s="23"/>
      <c r="C1" s="23"/>
      <c r="D1" s="23"/>
      <c r="E1" s="23"/>
      <c r="F1" s="23"/>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row>
    <row r="2" spans="1:66" ht="19.5">
      <c r="A2" s="23"/>
      <c r="B2" t="s">
        <v>602</v>
      </c>
      <c r="F2" s="23"/>
      <c r="G2" s="23" t="s">
        <v>603</v>
      </c>
      <c r="H2" s="23"/>
      <c r="I2" s="23"/>
      <c r="J2" s="23"/>
      <c r="K2" s="23"/>
      <c r="L2" s="23"/>
      <c r="M2" s="23"/>
      <c r="N2" s="23"/>
      <c r="O2" s="23"/>
      <c r="P2" s="23"/>
      <c r="Q2" s="23"/>
      <c r="R2" s="23"/>
      <c r="S2" s="23"/>
      <c r="T2" s="23"/>
      <c r="U2" s="23"/>
      <c r="V2" s="23"/>
      <c r="W2" s="23"/>
      <c r="X2" s="23"/>
      <c r="Y2" s="23"/>
      <c r="Z2" s="23"/>
      <c r="AA2" s="154" t="s">
        <v>604</v>
      </c>
      <c r="AB2" s="23"/>
      <c r="AC2" s="23"/>
      <c r="AD2" s="23"/>
      <c r="AE2" s="23"/>
      <c r="AF2" s="155" t="s">
        <v>605</v>
      </c>
      <c r="AG2" s="23"/>
      <c r="AH2" s="23"/>
      <c r="AI2" s="23"/>
      <c r="AJ2" s="155" t="s">
        <v>606</v>
      </c>
      <c r="AK2" s="23"/>
      <c r="AL2" s="23"/>
      <c r="AM2" s="23"/>
      <c r="AN2" s="154" t="s">
        <v>607</v>
      </c>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row>
    <row r="3" spans="1:66" ht="19.5">
      <c r="A3" s="23"/>
      <c r="B3" s="156"/>
      <c r="C3" s="156"/>
      <c r="D3" s="156"/>
      <c r="E3" s="156"/>
      <c r="F3" s="23"/>
      <c r="G3" s="2" t="s">
        <v>260</v>
      </c>
      <c r="H3" s="2" t="s">
        <v>608</v>
      </c>
      <c r="I3" s="2" t="s">
        <v>609</v>
      </c>
      <c r="J3" s="2" t="s">
        <v>610</v>
      </c>
      <c r="K3" s="2" t="s">
        <v>611</v>
      </c>
      <c r="L3" s="2" t="s">
        <v>612</v>
      </c>
      <c r="M3" s="2" t="s">
        <v>613</v>
      </c>
      <c r="N3" s="2"/>
      <c r="O3" s="23"/>
      <c r="Q3" s="23"/>
      <c r="R3" s="23"/>
      <c r="S3" s="23"/>
      <c r="T3" s="23"/>
      <c r="U3" s="23"/>
      <c r="V3" s="23"/>
      <c r="W3" s="23"/>
      <c r="X3" s="23"/>
      <c r="Y3" s="23"/>
      <c r="Z3" s="23"/>
      <c r="AA3" s="2" t="s">
        <v>615</v>
      </c>
      <c r="AB3" s="2" t="s">
        <v>616</v>
      </c>
      <c r="AC3" s="2" t="s">
        <v>617</v>
      </c>
      <c r="AD3" s="2" t="s">
        <v>618</v>
      </c>
      <c r="AE3" s="23"/>
      <c r="AF3" s="2" t="s">
        <v>382</v>
      </c>
      <c r="AG3" s="2" t="s">
        <v>311</v>
      </c>
      <c r="AH3" s="2" t="s">
        <v>312</v>
      </c>
      <c r="AI3" s="23"/>
      <c r="AJ3" s="2" t="s">
        <v>382</v>
      </c>
      <c r="AK3" s="2" t="s">
        <v>311</v>
      </c>
      <c r="AL3" s="2" t="s">
        <v>312</v>
      </c>
      <c r="AM3" s="23"/>
      <c r="AN3" s="2" t="s">
        <v>382</v>
      </c>
      <c r="AO3" s="2" t="s">
        <v>619</v>
      </c>
      <c r="AP3" s="2" t="s">
        <v>620</v>
      </c>
      <c r="AQ3" s="2" t="s">
        <v>621</v>
      </c>
      <c r="AR3" s="2" t="s">
        <v>622</v>
      </c>
      <c r="AS3" s="23"/>
      <c r="AT3" s="23"/>
      <c r="AU3" s="23"/>
      <c r="AV3" s="23"/>
      <c r="AW3" s="23"/>
      <c r="AX3" s="23"/>
      <c r="AY3" s="23"/>
      <c r="AZ3" s="23"/>
      <c r="BA3" s="23"/>
      <c r="BB3" s="23"/>
      <c r="BC3" s="23"/>
      <c r="BD3" s="23"/>
      <c r="BE3" s="23"/>
      <c r="BF3" s="23"/>
      <c r="BG3" s="23"/>
      <c r="BH3" s="23"/>
      <c r="BI3" s="23"/>
      <c r="BJ3" s="23"/>
      <c r="BK3" s="23"/>
      <c r="BL3" s="23"/>
      <c r="BM3" s="23"/>
      <c r="BN3" s="23"/>
    </row>
    <row r="4" spans="1:66" ht="19.5">
      <c r="A4" s="23"/>
      <c r="B4" s="156"/>
      <c r="C4" s="156"/>
      <c r="D4" s="156"/>
      <c r="E4" s="156"/>
      <c r="F4" s="23"/>
      <c r="G4" s="6" t="s">
        <v>261</v>
      </c>
      <c r="H4" s="6" t="s">
        <v>623</v>
      </c>
      <c r="I4" s="6" t="s">
        <v>624</v>
      </c>
      <c r="J4" s="157" t="s">
        <v>625</v>
      </c>
      <c r="K4" s="157" t="s">
        <v>626</v>
      </c>
      <c r="L4" s="6" t="s">
        <v>77</v>
      </c>
      <c r="M4" s="157" t="s">
        <v>142</v>
      </c>
      <c r="N4" s="157" t="s">
        <v>142</v>
      </c>
      <c r="O4" s="23"/>
      <c r="Q4" s="23"/>
      <c r="R4" s="23"/>
      <c r="S4" s="23"/>
      <c r="T4" s="23"/>
      <c r="U4" s="23"/>
      <c r="V4" s="23"/>
      <c r="W4" s="23"/>
      <c r="X4" s="23"/>
      <c r="Y4" s="23"/>
      <c r="Z4" s="23"/>
      <c r="AA4" s="158">
        <v>1</v>
      </c>
      <c r="AB4" s="87">
        <v>-0.65</v>
      </c>
      <c r="AC4" s="87">
        <v>4</v>
      </c>
      <c r="AD4" s="87">
        <v>4</v>
      </c>
      <c r="AE4" s="23"/>
      <c r="AF4" s="6" t="s">
        <v>627</v>
      </c>
      <c r="AG4" s="93">
        <v>7</v>
      </c>
      <c r="AH4" s="6" t="s">
        <v>628</v>
      </c>
      <c r="AI4" s="23"/>
      <c r="AJ4" s="6" t="s">
        <v>629</v>
      </c>
      <c r="AK4" s="93">
        <v>120</v>
      </c>
      <c r="AL4" s="6" t="s">
        <v>628</v>
      </c>
      <c r="AM4" s="23"/>
      <c r="AN4" s="6" t="s">
        <v>630</v>
      </c>
      <c r="AO4" s="93">
        <v>-150</v>
      </c>
      <c r="AP4" s="93">
        <v>-150</v>
      </c>
      <c r="AQ4" s="93">
        <v>-150</v>
      </c>
      <c r="AR4" s="93">
        <v>-80</v>
      </c>
      <c r="AS4" s="23"/>
      <c r="AT4" s="23"/>
      <c r="AU4" s="23"/>
      <c r="AV4" s="23"/>
      <c r="AW4" s="23"/>
      <c r="AX4" s="23"/>
      <c r="AY4" s="23"/>
      <c r="AZ4" s="23"/>
      <c r="BA4" s="23"/>
      <c r="BB4" s="23"/>
      <c r="BC4" s="23"/>
      <c r="BD4" s="23"/>
      <c r="BE4" s="23"/>
      <c r="BF4" s="23"/>
      <c r="BG4" s="23"/>
      <c r="BH4" s="23"/>
      <c r="BI4" s="23"/>
      <c r="BJ4" s="23"/>
      <c r="BK4" s="23"/>
      <c r="BL4" s="23"/>
      <c r="BM4" s="23"/>
      <c r="BN4" s="23"/>
    </row>
    <row r="5" spans="1:66" ht="20.25" thickBot="1">
      <c r="A5" s="23"/>
      <c r="B5" s="156"/>
      <c r="C5" s="156"/>
      <c r="D5" s="156"/>
      <c r="E5" s="156"/>
      <c r="F5" s="23"/>
      <c r="G5" s="11" t="s">
        <v>263</v>
      </c>
      <c r="H5" s="11" t="s">
        <v>145</v>
      </c>
      <c r="I5" s="11" t="s">
        <v>145</v>
      </c>
      <c r="J5" s="159" t="s">
        <v>148</v>
      </c>
      <c r="K5" s="159" t="s">
        <v>148</v>
      </c>
      <c r="L5" s="11" t="s">
        <v>142</v>
      </c>
      <c r="M5" s="159" t="s">
        <v>142</v>
      </c>
      <c r="N5" s="159"/>
      <c r="O5" s="23"/>
      <c r="P5" s="275" t="s">
        <v>787</v>
      </c>
      <c r="Q5" s="93">
        <v>2</v>
      </c>
      <c r="R5" s="23"/>
      <c r="S5" s="23"/>
      <c r="T5" s="23"/>
      <c r="U5" s="23"/>
      <c r="V5" s="23"/>
      <c r="W5" s="23"/>
      <c r="X5" s="23"/>
      <c r="Y5" s="23"/>
      <c r="Z5" s="23"/>
      <c r="AA5" s="100">
        <v>2</v>
      </c>
      <c r="AB5" s="93">
        <v>-0.27</v>
      </c>
      <c r="AC5" s="93">
        <v>4</v>
      </c>
      <c r="AD5" s="93">
        <v>4</v>
      </c>
      <c r="AE5" s="23"/>
      <c r="AF5" s="6" t="s">
        <v>632</v>
      </c>
      <c r="AG5" s="93">
        <v>0.5</v>
      </c>
      <c r="AH5" s="12" t="s">
        <v>628</v>
      </c>
      <c r="AI5" s="23"/>
      <c r="AJ5" s="6" t="s">
        <v>633</v>
      </c>
      <c r="AK5" s="93">
        <v>40</v>
      </c>
      <c r="AL5" s="12" t="s">
        <v>628</v>
      </c>
      <c r="AM5" s="23"/>
      <c r="AN5" s="6" t="s">
        <v>634</v>
      </c>
      <c r="AO5" s="93">
        <v>250</v>
      </c>
      <c r="AP5" s="93">
        <v>250</v>
      </c>
      <c r="AQ5" s="93">
        <v>250</v>
      </c>
      <c r="AR5" s="93">
        <v>130</v>
      </c>
      <c r="AS5" s="23"/>
      <c r="AT5" s="23"/>
      <c r="AU5" s="23"/>
      <c r="AV5" s="23"/>
      <c r="AW5" s="23"/>
      <c r="AX5" s="23"/>
      <c r="AY5" s="23"/>
      <c r="AZ5" s="23"/>
      <c r="BA5" s="23"/>
      <c r="BB5" s="23"/>
      <c r="BC5" s="23"/>
      <c r="BD5" s="23"/>
      <c r="BE5" s="23"/>
      <c r="BF5" s="23"/>
      <c r="BG5" s="23"/>
      <c r="BH5" s="23"/>
      <c r="BI5" s="23"/>
      <c r="BJ5" s="23"/>
      <c r="BK5" s="23"/>
      <c r="BL5" s="23"/>
      <c r="BM5" s="23"/>
      <c r="BN5" s="23"/>
    </row>
    <row r="6" spans="1:66" ht="20.25" thickTop="1">
      <c r="A6" s="23"/>
      <c r="B6" s="156"/>
      <c r="C6" s="156"/>
      <c r="D6" s="156"/>
      <c r="E6" s="156"/>
      <c r="F6" s="23"/>
      <c r="G6" s="160" t="s">
        <v>635</v>
      </c>
      <c r="H6" s="12">
        <f>'主翼(平面形)'!Z4</f>
        <v>0</v>
      </c>
      <c r="I6" s="12">
        <f>'主翼(平面形)'!AB4</f>
        <v>1.1000000000000001</v>
      </c>
      <c r="J6" s="12">
        <f>'主翼(平面形)'!AC4</f>
        <v>3.7199999999999998</v>
      </c>
      <c r="K6" s="12">
        <f>'主翼(平面形)'!AA4</f>
        <v>0</v>
      </c>
      <c r="L6" s="12">
        <f>'主翼(平面形)'!AI$2</f>
        <v>0.38</v>
      </c>
      <c r="M6" s="12" t="str" cm="1">
        <f t="array" ref="M6">_xlfn.SWITCH('主翼(平面形)'!AD4,
"主翼翼型1",主翼翼型1!$C$3,
"主翼翼型2",主翼翼型2!$C$3,
"主翼翼型3",主翼翼型3!$C$3,
"主翼翼型4",主翼翼型4!$C$3,
"主翼翼型5",主翼翼型5!$C$3,
)</f>
        <v>QX0026 root.dat</v>
      </c>
      <c r="N6" s="12"/>
      <c r="O6" s="23"/>
      <c r="P6" s="147" t="s">
        <v>557</v>
      </c>
      <c r="Q6" s="93">
        <v>9.5</v>
      </c>
      <c r="R6" s="23"/>
      <c r="S6" s="23"/>
      <c r="U6" s="23"/>
      <c r="V6" s="23"/>
      <c r="X6" s="23"/>
      <c r="Y6" s="23"/>
      <c r="Z6" s="23"/>
      <c r="AA6" s="158">
        <v>3</v>
      </c>
      <c r="AB6" s="93">
        <v>-0.1</v>
      </c>
      <c r="AC6" s="93">
        <v>4</v>
      </c>
      <c r="AD6" s="93">
        <v>4</v>
      </c>
      <c r="AE6" s="23"/>
      <c r="AF6" s="6" t="s">
        <v>636</v>
      </c>
      <c r="AG6" s="93">
        <v>0.5</v>
      </c>
      <c r="AH6" s="12" t="s">
        <v>628</v>
      </c>
      <c r="AI6" s="23"/>
      <c r="AJ6" s="6" t="s">
        <v>637</v>
      </c>
      <c r="AK6" s="93">
        <v>20</v>
      </c>
      <c r="AL6" s="12" t="s">
        <v>628</v>
      </c>
      <c r="AM6" s="23"/>
      <c r="AN6" s="155" t="s">
        <v>638</v>
      </c>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row>
    <row r="7" spans="1:66" ht="19.5">
      <c r="A7" s="23"/>
      <c r="B7" s="156"/>
      <c r="C7" s="156"/>
      <c r="D7" s="156"/>
      <c r="E7" s="156"/>
      <c r="F7" s="23"/>
      <c r="G7" s="2" t="s">
        <v>639</v>
      </c>
      <c r="H7" s="12">
        <f>'主翼(平面形)'!Z5</f>
        <v>2.2749999999999999</v>
      </c>
      <c r="I7" s="12">
        <f>'主翼(平面形)'!AB5</f>
        <v>1.1000000000000001</v>
      </c>
      <c r="J7" s="12">
        <f>'主翼(平面形)'!AC5</f>
        <v>3.7199999999999998</v>
      </c>
      <c r="K7" s="12">
        <f>'主翼(平面形)'!AA5</f>
        <v>0</v>
      </c>
      <c r="L7" s="12">
        <f>'主翼(平面形)'!AI$2</f>
        <v>0.38</v>
      </c>
      <c r="M7" s="12" t="str" cm="1">
        <f t="array" ref="M7">_xlfn.SWITCH('主翼(平面形)'!AD5,
"主翼翼型1",主翼翼型1!$C$3,
"主翼翼型2",主翼翼型2!$C$3,
"主翼翼型3",主翼翼型3!$C$3,
"主翼翼型4",主翼翼型4!$C$3,
"主翼翼型5",主翼翼型5!$C$3,
)</f>
        <v>QX0026 root.dat</v>
      </c>
      <c r="N7" s="6"/>
      <c r="O7" s="23"/>
      <c r="P7" s="147" t="s">
        <v>1166</v>
      </c>
      <c r="Q7" s="93">
        <v>1.5</v>
      </c>
      <c r="R7" s="23"/>
      <c r="U7" s="23"/>
      <c r="V7" s="23"/>
      <c r="X7" s="23"/>
      <c r="Y7" s="23"/>
      <c r="Z7" s="23"/>
      <c r="AA7" s="100">
        <v>4</v>
      </c>
      <c r="AB7" s="93">
        <v>-1.4999999999999999E-2</v>
      </c>
      <c r="AC7" s="93">
        <v>2</v>
      </c>
      <c r="AD7" s="93">
        <v>5</v>
      </c>
      <c r="AE7" s="23"/>
      <c r="AF7" s="6" t="s">
        <v>600</v>
      </c>
      <c r="AG7" s="93">
        <v>1.5</v>
      </c>
      <c r="AH7" s="6" t="s">
        <v>628</v>
      </c>
      <c r="AI7" s="23"/>
      <c r="AJ7" s="23"/>
      <c r="AK7" s="23"/>
      <c r="AL7" s="23"/>
      <c r="AM7" s="23"/>
      <c r="AN7" s="6" t="s">
        <v>630</v>
      </c>
      <c r="AO7" s="93">
        <v>-150</v>
      </c>
      <c r="AP7" s="93">
        <v>-150</v>
      </c>
      <c r="AQ7" s="93">
        <v>-150</v>
      </c>
      <c r="AR7" s="93">
        <v>-80</v>
      </c>
      <c r="AS7" s="23"/>
      <c r="AT7" s="23"/>
      <c r="AU7" s="23"/>
      <c r="AV7" s="23"/>
      <c r="AW7" s="23"/>
      <c r="AX7" s="23"/>
      <c r="AY7" s="23"/>
      <c r="AZ7" s="23"/>
      <c r="BA7" s="23"/>
      <c r="BB7" s="23"/>
      <c r="BC7" s="23"/>
      <c r="BD7" s="23"/>
      <c r="BE7" s="23"/>
      <c r="BF7" s="23"/>
      <c r="BG7" s="23"/>
      <c r="BH7" s="23"/>
      <c r="BI7" s="23"/>
      <c r="BJ7" s="23"/>
      <c r="BK7" s="23"/>
      <c r="BL7" s="23"/>
      <c r="BM7" s="23"/>
      <c r="BN7" s="23"/>
    </row>
    <row r="8" spans="1:66" ht="19.5">
      <c r="A8" s="23"/>
      <c r="B8" s="156"/>
      <c r="C8" s="156"/>
      <c r="D8" s="156"/>
      <c r="E8" s="156"/>
      <c r="F8" s="23"/>
      <c r="G8" s="2" t="s">
        <v>640</v>
      </c>
      <c r="H8" s="12">
        <f>'主翼(平面形)'!Z6</f>
        <v>4.8499999999999996</v>
      </c>
      <c r="I8" s="12">
        <f>'主翼(平面形)'!AB6</f>
        <v>0.89800000000000002</v>
      </c>
      <c r="J8" s="12">
        <f>'主翼(平面形)'!AC6</f>
        <v>3.6799999999999997</v>
      </c>
      <c r="K8" s="12">
        <f>'主翼(平面形)'!AA6</f>
        <v>0</v>
      </c>
      <c r="L8" s="12">
        <f>'主翼(平面形)'!AI$2</f>
        <v>0.38</v>
      </c>
      <c r="M8" s="12" t="str" cm="1">
        <f t="array" ref="M8">_xlfn.SWITCH('主翼(平面形)'!AD6,
"主翼翼型1",主翼翼型1!$C$3,
"主翼翼型2",主翼翼型2!$C$3,
"主翼翼型3",主翼翼型3!$C$3,
"主翼翼型4",主翼翼型4!$C$3,
"主翼翼型5",主翼翼型5!$C$3,
)</f>
        <v>QX0226.dat</v>
      </c>
      <c r="N8" s="6"/>
      <c r="O8" s="23"/>
      <c r="Q8" s="23"/>
      <c r="R8" s="23"/>
      <c r="U8" s="23"/>
      <c r="V8" s="23"/>
      <c r="X8" s="23"/>
      <c r="Y8" s="23"/>
      <c r="Z8" s="23"/>
      <c r="AA8" s="158">
        <v>5</v>
      </c>
      <c r="AB8" s="93">
        <v>0.01</v>
      </c>
      <c r="AC8" s="93">
        <v>2</v>
      </c>
      <c r="AD8" s="93">
        <v>5</v>
      </c>
      <c r="AE8" s="23"/>
      <c r="AF8" s="23"/>
      <c r="AG8" s="23"/>
      <c r="AH8" s="23"/>
      <c r="AI8" s="23"/>
      <c r="AJ8" s="23"/>
      <c r="AK8" s="23"/>
      <c r="AL8" s="23"/>
      <c r="AM8" s="23"/>
      <c r="AN8" s="6" t="s">
        <v>634</v>
      </c>
      <c r="AO8" s="93">
        <v>250</v>
      </c>
      <c r="AP8" s="93">
        <v>250</v>
      </c>
      <c r="AQ8" s="93">
        <v>250</v>
      </c>
      <c r="AR8" s="93">
        <v>130</v>
      </c>
      <c r="AS8" s="23"/>
      <c r="AT8" s="23"/>
      <c r="AU8" s="23"/>
      <c r="AV8" s="23"/>
      <c r="AW8" s="23"/>
      <c r="AX8" s="23"/>
      <c r="AY8" s="23"/>
      <c r="AZ8" s="23"/>
      <c r="BA8" s="23"/>
      <c r="BB8" s="23"/>
      <c r="BC8" s="23"/>
      <c r="BD8" s="23"/>
      <c r="BE8" s="23"/>
      <c r="BF8" s="23"/>
      <c r="BG8" s="23"/>
      <c r="BH8" s="23"/>
      <c r="BI8" s="23"/>
      <c r="BJ8" s="23"/>
      <c r="BK8" s="23"/>
      <c r="BL8" s="23"/>
      <c r="BM8" s="23"/>
      <c r="BN8" s="23"/>
    </row>
    <row r="9" spans="1:66" ht="19.5">
      <c r="A9" s="23"/>
      <c r="B9" s="156"/>
      <c r="C9" s="156"/>
      <c r="D9" s="156"/>
      <c r="E9" s="156"/>
      <c r="F9" s="23"/>
      <c r="G9" s="2" t="s">
        <v>641</v>
      </c>
      <c r="H9" s="12">
        <f>'主翼(平面形)'!Z7</f>
        <v>7.6</v>
      </c>
      <c r="I9" s="12">
        <f>'主翼(平面形)'!AB7</f>
        <v>0.74199999999999999</v>
      </c>
      <c r="J9" s="12">
        <f>'主翼(平面形)'!AC7</f>
        <v>3.6799999999999997</v>
      </c>
      <c r="K9" s="12">
        <f>'主翼(平面形)'!AA7</f>
        <v>6</v>
      </c>
      <c r="L9" s="12">
        <f>'主翼(平面形)'!AI$2</f>
        <v>0.38</v>
      </c>
      <c r="M9" s="12" t="str" cm="1">
        <f t="array" ref="M9">_xlfn.SWITCH('主翼(平面形)'!AD7,
"主翼翼型1",主翼翼型1!$C$3,
"主翼翼型2",主翼翼型2!$C$3,
"主翼翼型3",主翼翼型3!$C$3,
"主翼翼型4",主翼翼型4!$C$3,
"主翼翼型5",主翼翼型5!$C$3,
)</f>
        <v>QX0226.dat</v>
      </c>
      <c r="N9" s="6"/>
      <c r="O9" s="23"/>
      <c r="Q9" s="23"/>
      <c r="R9" s="23"/>
      <c r="U9" s="23"/>
      <c r="V9" s="23"/>
      <c r="X9" s="23"/>
      <c r="Y9" s="23"/>
      <c r="Z9" s="23"/>
      <c r="AA9" s="100">
        <v>6</v>
      </c>
      <c r="AB9" s="93">
        <v>0.15</v>
      </c>
      <c r="AC9" s="93">
        <v>4</v>
      </c>
      <c r="AD9" s="93">
        <v>4</v>
      </c>
      <c r="AE9" s="23"/>
      <c r="AF9" s="154" t="s">
        <v>642</v>
      </c>
      <c r="AG9" s="23"/>
      <c r="AH9" s="23"/>
      <c r="AI9" s="23"/>
      <c r="AJ9" s="155" t="s">
        <v>643</v>
      </c>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row>
    <row r="10" spans="1:66" ht="19.5">
      <c r="A10" s="23"/>
      <c r="B10" s="156"/>
      <c r="C10" s="156"/>
      <c r="D10" s="156"/>
      <c r="E10" s="156"/>
      <c r="F10" s="23"/>
      <c r="G10" s="2" t="s">
        <v>644</v>
      </c>
      <c r="H10" s="12">
        <f>'主翼(平面形)'!Z8</f>
        <v>8.5500000000000007</v>
      </c>
      <c r="I10" s="12">
        <f>'主翼(平面形)'!AB8</f>
        <v>0.625</v>
      </c>
      <c r="J10" s="12">
        <f>'主翼(平面形)'!AC8</f>
        <v>3.6799999999999997</v>
      </c>
      <c r="K10" s="12">
        <f>'主翼(平面形)'!AA8</f>
        <v>6</v>
      </c>
      <c r="L10" s="12">
        <f>'主翼(平面形)'!AI$2</f>
        <v>0.38</v>
      </c>
      <c r="M10" s="12" t="str" cm="1">
        <f t="array" ref="M10">_xlfn.SWITCH('主翼(平面形)'!AD8,
"主翼翼型1",主翼翼型1!$C$3,
"主翼翼型2",主翼翼型2!$C$3,
"主翼翼型3",主翼翼型3!$C$3,
"主翼翼型4",主翼翼型4!$C$3,
"主翼翼型5",主翼翼型5!$C$3,
)</f>
        <v>QX0226.dat</v>
      </c>
      <c r="N10" s="6"/>
      <c r="O10" s="23"/>
      <c r="P10" s="23"/>
      <c r="Q10" s="23"/>
      <c r="R10" s="23"/>
      <c r="V10" s="23"/>
      <c r="W10" s="23"/>
      <c r="X10" s="23"/>
      <c r="Y10" s="23"/>
      <c r="Z10" s="23"/>
      <c r="AA10" s="100">
        <v>7</v>
      </c>
      <c r="AB10" s="93"/>
      <c r="AC10" s="93"/>
      <c r="AD10" s="93"/>
      <c r="AE10" s="23"/>
      <c r="AF10" s="2" t="s">
        <v>382</v>
      </c>
      <c r="AG10" s="2" t="s">
        <v>645</v>
      </c>
      <c r="AH10" s="2" t="s">
        <v>646</v>
      </c>
      <c r="AI10" s="23"/>
      <c r="AJ10" s="2" t="s">
        <v>382</v>
      </c>
      <c r="AK10" s="2" t="s">
        <v>311</v>
      </c>
      <c r="AL10" s="2" t="s">
        <v>312</v>
      </c>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row>
    <row r="11" spans="1:66" ht="19.5">
      <c r="A11" s="23"/>
      <c r="B11" s="156"/>
      <c r="C11" s="156"/>
      <c r="D11" s="156"/>
      <c r="E11" s="156"/>
      <c r="F11" s="23"/>
      <c r="G11" s="2" t="s">
        <v>647</v>
      </c>
      <c r="H11" s="12">
        <f>'主翼(平面形)'!Z9</f>
        <v>11.275</v>
      </c>
      <c r="I11" s="12">
        <f>'主翼(平面形)'!AB9</f>
        <v>0.57500000000000007</v>
      </c>
      <c r="J11" s="12">
        <f>'主翼(平面形)'!AC9</f>
        <v>2.59</v>
      </c>
      <c r="K11" s="12">
        <f>'主翼(平面形)'!AA9</f>
        <v>6</v>
      </c>
      <c r="L11" s="12">
        <f>'主翼(平面形)'!AI$2</f>
        <v>0.38</v>
      </c>
      <c r="M11" s="12" t="str" cm="1">
        <f t="array" ref="M11">_xlfn.SWITCH('主翼(平面形)'!AD9,
"主翼翼型1",主翼翼型1!$C$3,
"主翼翼型2",主翼翼型2!$C$3,
"主翼翼型3",主翼翼型3!$C$3,
"主翼翼型4",主翼翼型4!$C$3,
"主翼翼型5",主翼翼型5!$C$3,
)</f>
        <v>QX0126.dat</v>
      </c>
      <c r="N11" s="6"/>
      <c r="O11" s="23"/>
      <c r="P11" s="23"/>
      <c r="Q11" s="23"/>
      <c r="R11" s="23"/>
      <c r="S11" s="23"/>
      <c r="T11" s="23"/>
      <c r="U11" s="23"/>
      <c r="V11" s="23"/>
      <c r="W11" s="23"/>
      <c r="X11" s="23"/>
      <c r="Y11" s="23"/>
      <c r="Z11" s="23"/>
      <c r="AA11" s="100">
        <v>8</v>
      </c>
      <c r="AB11" s="93"/>
      <c r="AC11" s="93"/>
      <c r="AD11" s="93"/>
      <c r="AE11" s="23"/>
      <c r="AF11" s="6" t="s">
        <v>575</v>
      </c>
      <c r="AG11" s="93">
        <v>-0.75</v>
      </c>
      <c r="AH11" s="93">
        <v>0.2</v>
      </c>
      <c r="AI11" s="23"/>
      <c r="AJ11" s="6" t="s">
        <v>648</v>
      </c>
      <c r="AK11" s="93">
        <v>-80</v>
      </c>
      <c r="AL11" s="6" t="s">
        <v>628</v>
      </c>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row>
    <row r="12" spans="1:66" ht="19.5">
      <c r="A12" s="23"/>
      <c r="B12" s="156"/>
      <c r="C12" s="156"/>
      <c r="D12" s="156"/>
      <c r="E12" s="156"/>
      <c r="F12" s="23"/>
      <c r="G12" s="2" t="s">
        <v>649</v>
      </c>
      <c r="H12" s="12">
        <f>'主翼(平面形)'!Z10</f>
        <v>12.2</v>
      </c>
      <c r="I12" s="12">
        <f>'主翼(平面形)'!AB10</f>
        <v>0.42599999999999999</v>
      </c>
      <c r="J12" s="12">
        <f>'主翼(平面形)'!AC10</f>
        <v>2</v>
      </c>
      <c r="K12" s="12">
        <f>'主翼(平面形)'!AA10</f>
        <v>6</v>
      </c>
      <c r="L12" s="12">
        <f>'主翼(平面形)'!AI$2</f>
        <v>0.38</v>
      </c>
      <c r="M12" s="12" t="str" cm="1">
        <f t="array" ref="M12">_xlfn.SWITCH('主翼(平面形)'!AD10,
"主翼翼型1",主翼翼型1!$C$3,
"主翼翼型2",主翼翼型2!$C$3,
"主翼翼型3",主翼翼型3!$C$3,
"主翼翼型4",主翼翼型4!$C$3,
"主翼翼型5",主翼翼型5!$C$3,
)</f>
        <v>QX0126.dat</v>
      </c>
      <c r="N12" s="6"/>
      <c r="O12" s="23"/>
      <c r="P12" s="23"/>
      <c r="Q12" s="23"/>
      <c r="R12" s="23"/>
      <c r="S12" s="23"/>
      <c r="T12" s="23"/>
      <c r="U12" s="23"/>
      <c r="V12" s="23"/>
      <c r="W12" s="23"/>
      <c r="X12" s="23"/>
      <c r="Y12" s="23"/>
      <c r="Z12" s="23"/>
      <c r="AA12" s="100">
        <v>9</v>
      </c>
      <c r="AB12" s="93"/>
      <c r="AC12" s="93"/>
      <c r="AD12" s="93"/>
      <c r="AE12" s="23"/>
      <c r="AF12" s="6" t="s">
        <v>650</v>
      </c>
      <c r="AG12" s="93">
        <v>-0.75</v>
      </c>
      <c r="AH12" s="93">
        <v>0.4</v>
      </c>
      <c r="AI12" s="23"/>
      <c r="AJ12" s="6" t="s">
        <v>651</v>
      </c>
      <c r="AK12" s="93">
        <v>2</v>
      </c>
      <c r="AL12" s="12" t="s">
        <v>628</v>
      </c>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row>
    <row r="13" spans="1:66" ht="19.5">
      <c r="A13" s="23"/>
      <c r="B13" s="156"/>
      <c r="C13" s="156"/>
      <c r="D13" s="156"/>
      <c r="E13" s="156"/>
      <c r="F13" s="23"/>
      <c r="G13" s="2" t="s">
        <v>652</v>
      </c>
      <c r="H13" s="12">
        <f>'主翼(平面形)'!Z13</f>
        <v>13.25</v>
      </c>
      <c r="I13" s="12">
        <f>'主翼(平面形)'!AB13</f>
        <v>0.15</v>
      </c>
      <c r="J13" s="12">
        <f>'主翼(平面形)'!AC13</f>
        <v>1.7</v>
      </c>
      <c r="K13" s="6"/>
      <c r="L13" s="12">
        <f>'主翼(平面形)'!AI$2</f>
        <v>0.38</v>
      </c>
      <c r="M13" s="12" t="str" cm="1">
        <f t="array" ref="M13">_xlfn.SWITCH('主翼(平面形)'!AD11,
"主翼翼型1",主翼翼型1!$C$3,
"主翼翼型2",主翼翼型2!$C$3,
"主翼翼型3",主翼翼型3!$C$3,
"主翼翼型4",主翼翼型4!$C$3,
"主翼翼型5",主翼翼型5!$C$3,
)</f>
        <v>QX0126.dat</v>
      </c>
      <c r="N13" s="6"/>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row>
    <row r="14" spans="1:66">
      <c r="A14" s="23"/>
      <c r="B14" s="23"/>
      <c r="C14" s="23"/>
      <c r="D14" s="23"/>
      <c r="E14" s="23"/>
      <c r="F14" s="23"/>
      <c r="G14" s="23"/>
      <c r="H14" s="23" t="s">
        <v>653</v>
      </c>
      <c r="I14" s="23"/>
      <c r="J14" s="23"/>
      <c r="K14" s="23"/>
      <c r="L14" s="23"/>
      <c r="M14" s="23" t="s">
        <v>654</v>
      </c>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row>
    <row r="15" spans="1:66">
      <c r="A15" s="23"/>
      <c r="B15" s="6" t="s">
        <v>655</v>
      </c>
      <c r="C15" s="6"/>
      <c r="D15" s="6"/>
      <c r="E15" s="6"/>
      <c r="F15" s="23"/>
      <c r="G15" s="23"/>
      <c r="H15" s="23"/>
      <c r="I15" s="23"/>
      <c r="J15" s="23"/>
      <c r="K15" s="23"/>
      <c r="L15" s="23"/>
      <c r="M15" s="23" t="s">
        <v>1189</v>
      </c>
      <c r="N15" s="23"/>
      <c r="O15" s="23"/>
      <c r="P15" s="23"/>
      <c r="Q15" s="23"/>
      <c r="R15" s="23"/>
      <c r="S15" s="23"/>
      <c r="T15" s="23"/>
      <c r="U15" s="23"/>
      <c r="V15" s="23"/>
      <c r="W15" s="23"/>
      <c r="X15" s="23"/>
      <c r="Y15" s="23"/>
      <c r="Z15" s="23"/>
      <c r="AA15" s="23"/>
      <c r="AB15" s="23"/>
      <c r="AC15" s="98">
        <v>1</v>
      </c>
      <c r="AD15" s="6" t="s">
        <v>656</v>
      </c>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row>
    <row r="16" spans="1:66">
      <c r="A16" s="23"/>
      <c r="B16" s="6" t="s">
        <v>657</v>
      </c>
      <c r="C16" s="6"/>
      <c r="D16" s="6"/>
      <c r="E16" s="6"/>
      <c r="F16" s="23"/>
      <c r="G16" s="23"/>
      <c r="H16" s="2" t="s">
        <v>658</v>
      </c>
      <c r="I16" s="2" t="s">
        <v>659</v>
      </c>
      <c r="J16" s="2" t="s">
        <v>660</v>
      </c>
      <c r="K16" s="2" t="s">
        <v>659</v>
      </c>
      <c r="L16" s="2" t="s">
        <v>661</v>
      </c>
      <c r="M16" s="2" t="s">
        <v>659</v>
      </c>
      <c r="N16" s="23"/>
      <c r="O16" s="2" t="s">
        <v>662</v>
      </c>
      <c r="P16" s="2" t="s">
        <v>659</v>
      </c>
      <c r="Q16" s="2" t="s">
        <v>663</v>
      </c>
      <c r="R16" s="2" t="s">
        <v>659</v>
      </c>
      <c r="S16" s="23"/>
      <c r="T16" s="23"/>
      <c r="U16" s="23"/>
      <c r="V16" s="23"/>
      <c r="W16" s="23"/>
      <c r="X16" s="23"/>
      <c r="Y16" s="23"/>
      <c r="Z16" s="23"/>
      <c r="AA16" s="161"/>
      <c r="AB16" s="162"/>
      <c r="AC16" s="162"/>
      <c r="AD16" s="162"/>
      <c r="AE16" s="162"/>
      <c r="AF16" s="162"/>
      <c r="AG16" s="162"/>
      <c r="AH16" s="162"/>
      <c r="AI16" s="162"/>
      <c r="AJ16" s="162"/>
      <c r="AK16" s="162"/>
      <c r="AL16" s="162"/>
      <c r="AM16" s="16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row>
    <row r="17" spans="1:66">
      <c r="A17" s="23"/>
      <c r="B17" s="6" t="s">
        <v>664</v>
      </c>
      <c r="C17" s="6"/>
      <c r="D17" s="6"/>
      <c r="E17" s="6"/>
      <c r="F17" s="23"/>
      <c r="G17" s="23"/>
      <c r="H17" s="6" t="s">
        <v>142</v>
      </c>
      <c r="I17" s="6" t="s">
        <v>142</v>
      </c>
      <c r="J17" s="6" t="s">
        <v>142</v>
      </c>
      <c r="K17" s="6" t="s">
        <v>142</v>
      </c>
      <c r="L17" s="6" t="s">
        <v>142</v>
      </c>
      <c r="M17" s="6" t="s">
        <v>142</v>
      </c>
      <c r="N17" s="23"/>
      <c r="O17" s="6" t="s">
        <v>142</v>
      </c>
      <c r="P17" s="6" t="s">
        <v>142</v>
      </c>
      <c r="Q17" s="6" t="s">
        <v>142</v>
      </c>
      <c r="R17" s="6" t="s">
        <v>142</v>
      </c>
      <c r="S17" s="23"/>
      <c r="T17" s="23"/>
      <c r="U17" s="23"/>
      <c r="V17" s="23"/>
      <c r="W17" s="23"/>
      <c r="X17" s="23"/>
      <c r="Y17" s="23"/>
      <c r="Z17" s="23"/>
      <c r="AA17" s="164"/>
      <c r="AB17" s="23"/>
      <c r="AC17" s="23"/>
      <c r="AD17" s="23"/>
      <c r="AE17" s="23"/>
      <c r="AF17" s="23"/>
      <c r="AG17" s="23"/>
      <c r="AH17" s="23"/>
      <c r="AI17" s="23"/>
      <c r="AJ17" s="23"/>
      <c r="AK17" s="23"/>
      <c r="AL17" s="23"/>
      <c r="AM17" s="165"/>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row>
    <row r="18" spans="1:66" ht="19.5" thickBot="1">
      <c r="A18" s="23"/>
      <c r="B18" s="6"/>
      <c r="C18" s="6"/>
      <c r="D18" s="6"/>
      <c r="E18" s="6"/>
      <c r="F18" s="23"/>
      <c r="G18" s="23"/>
      <c r="H18" s="11" t="s">
        <v>665</v>
      </c>
      <c r="I18" s="11" t="s">
        <v>145</v>
      </c>
      <c r="J18" s="11" t="s">
        <v>666</v>
      </c>
      <c r="K18" s="11" t="s">
        <v>148</v>
      </c>
      <c r="L18" s="11" t="s">
        <v>142</v>
      </c>
      <c r="M18" s="11" t="s">
        <v>145</v>
      </c>
      <c r="N18" s="23"/>
      <c r="O18" s="11" t="s">
        <v>631</v>
      </c>
      <c r="P18" s="11" t="s">
        <v>631</v>
      </c>
      <c r="Q18" s="11" t="s">
        <v>631</v>
      </c>
      <c r="R18" s="11" t="s">
        <v>631</v>
      </c>
      <c r="S18" s="23"/>
      <c r="T18" s="23"/>
      <c r="U18" s="23"/>
      <c r="V18" s="23"/>
      <c r="W18" s="23"/>
      <c r="X18" s="23"/>
      <c r="Y18" s="23"/>
      <c r="Z18" s="23"/>
      <c r="AA18" s="164"/>
      <c r="AB18" s="23"/>
      <c r="AC18" s="23"/>
      <c r="AD18" s="23"/>
      <c r="AE18" s="23"/>
      <c r="AF18" s="23"/>
      <c r="AG18" s="23"/>
      <c r="AH18" s="23"/>
      <c r="AI18" s="23"/>
      <c r="AJ18" s="23"/>
      <c r="AK18" s="23"/>
      <c r="AL18" s="23"/>
      <c r="AM18" s="165"/>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row>
    <row r="19" spans="1:66" ht="19.5" thickTop="1">
      <c r="A19" s="23"/>
      <c r="B19" s="6"/>
      <c r="C19" s="6"/>
      <c r="D19" s="6"/>
      <c r="E19" s="6"/>
      <c r="F19" s="23"/>
      <c r="G19" s="23"/>
      <c r="H19" s="6" cm="1">
        <f t="array" ref="H19:I19">LINEST(I6:I7,H6:H7,TRUE,FALSE)</f>
        <v>0</v>
      </c>
      <c r="I19" s="12">
        <v>1.1000000000000001</v>
      </c>
      <c r="J19" s="6" cm="1">
        <f t="array" ref="J19:K19">LINEST(J6:J7,H6:H7,TRUE,FALSE)</f>
        <v>0</v>
      </c>
      <c r="K19" s="12">
        <v>3.7199999999999998</v>
      </c>
      <c r="L19" s="6" cm="1">
        <f t="array" ref="L19:M19">LINEST(L6:L7,H6:H7,TRUE,FALSE)</f>
        <v>0</v>
      </c>
      <c r="M19" s="12">
        <v>0.38</v>
      </c>
      <c r="N19" s="153">
        <v>0</v>
      </c>
      <c r="O19" s="12"/>
      <c r="P19" s="12"/>
      <c r="Q19" s="12">
        <v>0</v>
      </c>
      <c r="R19" s="12">
        <v>113.39</v>
      </c>
      <c r="S19" s="23"/>
      <c r="T19" s="23"/>
      <c r="U19" s="23"/>
      <c r="V19" s="23"/>
      <c r="W19" s="23"/>
      <c r="X19" s="23"/>
      <c r="Y19" s="23"/>
      <c r="Z19" s="23"/>
      <c r="AA19" s="164"/>
      <c r="AB19" s="23"/>
      <c r="AC19" s="23"/>
      <c r="AD19" s="23"/>
      <c r="AE19" s="23"/>
      <c r="AF19" s="23"/>
      <c r="AG19" s="23"/>
      <c r="AH19" s="23"/>
      <c r="AI19" s="23"/>
      <c r="AJ19" s="23"/>
      <c r="AK19" s="23"/>
      <c r="AL19" s="23"/>
      <c r="AM19" s="165"/>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row>
    <row r="20" spans="1:66">
      <c r="A20" s="23"/>
      <c r="B20" s="6"/>
      <c r="C20" s="6"/>
      <c r="D20" s="6"/>
      <c r="E20" s="6"/>
      <c r="F20" s="23"/>
      <c r="G20" s="23"/>
      <c r="H20" s="6" cm="1">
        <f t="array" ref="H20:I20">LINEST(I7:I8,H7:H8,TRUE,FALSE)</f>
        <v>-7.8446601941747615E-2</v>
      </c>
      <c r="I20" s="6">
        <v>1.278466019417476</v>
      </c>
      <c r="J20" s="6" cm="1">
        <f t="array" ref="J20:K20">LINEST(J7:J8,H7:H8,TRUE,FALSE)</f>
        <v>-1.5533980582524287E-2</v>
      </c>
      <c r="K20" s="6">
        <v>3.7553398058252423</v>
      </c>
      <c r="L20" s="6" cm="1">
        <f t="array" ref="L20:M20">LINEST(L7:L8,H7:H8,TRUE,FALSE)</f>
        <v>0</v>
      </c>
      <c r="M20" s="6">
        <v>0.38</v>
      </c>
      <c r="N20" s="153">
        <v>1</v>
      </c>
      <c r="O20" s="6">
        <f>'主翼(桁)'!AF9</f>
        <v>-10.708387096774194</v>
      </c>
      <c r="P20" s="6">
        <f>'主翼(桁)'!AG9</f>
        <v>150.48967741935485</v>
      </c>
      <c r="Q20" s="6">
        <v>-8.1679999999999975</v>
      </c>
      <c r="R20" s="6">
        <v>133.75469999999999</v>
      </c>
      <c r="S20" s="23"/>
      <c r="T20" s="23"/>
      <c r="U20" s="23"/>
      <c r="V20" s="23"/>
      <c r="W20" s="23"/>
      <c r="X20" s="23"/>
      <c r="Y20" s="23"/>
      <c r="Z20" s="23"/>
      <c r="AA20" s="164"/>
      <c r="AB20" s="23"/>
      <c r="AC20" s="23"/>
      <c r="AD20" s="23"/>
      <c r="AE20" s="23"/>
      <c r="AF20" s="23"/>
      <c r="AG20" s="23"/>
      <c r="AH20" s="23"/>
      <c r="AI20" s="23"/>
      <c r="AJ20" s="23"/>
      <c r="AK20" s="23"/>
      <c r="AL20" s="23"/>
      <c r="AM20" s="165"/>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row>
    <row r="21" spans="1:66">
      <c r="A21" s="23"/>
      <c r="B21" s="6"/>
      <c r="C21" s="6"/>
      <c r="D21" s="6"/>
      <c r="E21" s="6"/>
      <c r="F21" s="23"/>
      <c r="G21" s="23"/>
      <c r="H21" s="6" cm="1">
        <f t="array" ref="H21:I21">LINEST(I8:I9,H8:H9,TRUE,FALSE)</f>
        <v>-5.6727272727272744E-2</v>
      </c>
      <c r="I21" s="6">
        <v>1.1731272727272728</v>
      </c>
      <c r="J21" s="6" cm="1">
        <f t="array" ref="J21:K21">LINEST(J8:J9,H8:H9,TRUE,FALSE)</f>
        <v>0</v>
      </c>
      <c r="K21" s="6">
        <v>3.6799999999999997</v>
      </c>
      <c r="L21" s="6" cm="1">
        <f t="array" ref="L21:M21">LINEST(L8:L9,H8:H9,TRUE,FALSE)</f>
        <v>0</v>
      </c>
      <c r="M21" s="6">
        <v>0.38</v>
      </c>
      <c r="N21" s="153">
        <v>2</v>
      </c>
      <c r="O21" s="6">
        <f>'主翼(桁)'!AH10</f>
        <v>-9.099999999999989</v>
      </c>
      <c r="P21" s="6">
        <f>'主翼(桁)'!AI10</f>
        <v>142.93499999999995</v>
      </c>
      <c r="Q21" s="6">
        <v>-9.2117578536842135</v>
      </c>
      <c r="R21" s="6">
        <v>147.67568082502635</v>
      </c>
      <c r="S21" s="23"/>
      <c r="T21" s="23"/>
      <c r="U21" s="23"/>
      <c r="V21" s="23"/>
      <c r="W21" s="23"/>
      <c r="X21" s="23"/>
      <c r="Y21" s="23"/>
      <c r="Z21" s="23"/>
      <c r="AA21" s="164"/>
      <c r="AB21" s="23"/>
      <c r="AC21" s="23"/>
      <c r="AD21" s="23"/>
      <c r="AE21" s="23"/>
      <c r="AF21" s="23"/>
      <c r="AG21" s="23"/>
      <c r="AH21" s="23"/>
      <c r="AI21" s="23"/>
      <c r="AJ21" s="23"/>
      <c r="AK21" s="23"/>
      <c r="AL21" s="23"/>
      <c r="AM21" s="165"/>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row>
    <row r="22" spans="1:66">
      <c r="A22" s="23"/>
      <c r="B22" s="6"/>
      <c r="C22" s="6"/>
      <c r="D22" s="6"/>
      <c r="E22" s="6"/>
      <c r="F22" s="23"/>
      <c r="G22" s="23"/>
      <c r="H22" s="6" cm="1">
        <f t="array" ref="H22:I22">LINEST(I9:I10,H9:H10,TRUE,FALSE)</f>
        <v>-0.12315789473684195</v>
      </c>
      <c r="I22" s="6">
        <v>1.6779999999999986</v>
      </c>
      <c r="J22" s="6" cm="1">
        <f t="array" ref="J22:K22">LINEST(J9:J10,H9:H10,TRUE,FALSE)</f>
        <v>0</v>
      </c>
      <c r="K22" s="6">
        <v>3.6799999999999997</v>
      </c>
      <c r="L22" s="6" cm="1">
        <f t="array" ref="L22:M22">LINEST(L9:L10,H9:H10,TRUE,FALSE)</f>
        <v>0</v>
      </c>
      <c r="M22" s="6">
        <v>0.38</v>
      </c>
      <c r="N22" s="153">
        <v>3</v>
      </c>
      <c r="O22" s="6" cm="1">
        <f t="array" ref="O22:P22">'主翼(桁)'!AJ12:AK12</f>
        <v>-8.5</v>
      </c>
      <c r="P22" s="6">
        <v>144.97500000000002</v>
      </c>
      <c r="Q22" s="6">
        <v>-8.5</v>
      </c>
      <c r="R22" s="6">
        <v>148.15199999999999</v>
      </c>
      <c r="S22" s="23"/>
      <c r="T22" s="23"/>
      <c r="U22" s="23"/>
      <c r="V22" s="23"/>
      <c r="W22" s="23"/>
      <c r="X22" s="23"/>
      <c r="Y22" s="23"/>
      <c r="Z22" s="23"/>
      <c r="AA22" s="164"/>
      <c r="AB22" s="23"/>
      <c r="AC22" s="23"/>
      <c r="AD22" s="23"/>
      <c r="AE22" s="23"/>
      <c r="AF22" s="23"/>
      <c r="AG22" s="23"/>
      <c r="AH22" s="23"/>
      <c r="AI22" s="23"/>
      <c r="AJ22" s="23"/>
      <c r="AK22" s="23"/>
      <c r="AL22" s="23"/>
      <c r="AM22" s="165"/>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row>
    <row r="23" spans="1:66">
      <c r="A23" s="23"/>
      <c r="B23" s="6"/>
      <c r="C23" s="6"/>
      <c r="D23" s="6"/>
      <c r="E23" s="6"/>
      <c r="F23" s="23"/>
      <c r="G23" s="23"/>
      <c r="H23" s="6" cm="1">
        <f t="array" ref="H23:I23">LINEST(I10:I11,H10:H11,TRUE,FALSE)</f>
        <v>-1.8348623853210986E-2</v>
      </c>
      <c r="I23" s="6">
        <v>0.78188073394495405</v>
      </c>
      <c r="J23" s="6" cm="1">
        <f t="array" ref="J23:K23">LINEST(J10:J11,H10:H11,TRUE,FALSE)</f>
        <v>-0.39999999999999997</v>
      </c>
      <c r="K23" s="6">
        <v>7.1</v>
      </c>
      <c r="L23" s="6" cm="1">
        <f t="array" ref="L23:M23">LINEST(L10:L11,H10:H11,TRUE,FALSE)</f>
        <v>0</v>
      </c>
      <c r="M23" s="6">
        <v>0.38</v>
      </c>
      <c r="N23" s="23"/>
      <c r="O23" s="6"/>
      <c r="P23" s="6"/>
      <c r="Q23" s="6"/>
      <c r="R23" s="6"/>
      <c r="S23" s="23"/>
      <c r="T23" s="23"/>
      <c r="U23" s="23"/>
      <c r="V23" s="23"/>
      <c r="W23" s="23"/>
      <c r="X23" s="23"/>
      <c r="Y23" s="23"/>
      <c r="Z23" s="23"/>
      <c r="AA23" s="164"/>
      <c r="AB23" s="23"/>
      <c r="AC23" s="23"/>
      <c r="AD23" s="23"/>
      <c r="AE23" s="23"/>
      <c r="AF23" s="23"/>
      <c r="AG23" s="23"/>
      <c r="AH23" s="23"/>
      <c r="AI23" s="23"/>
      <c r="AJ23" s="23"/>
      <c r="AK23" s="23"/>
      <c r="AL23" s="23"/>
      <c r="AM23" s="165"/>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row>
    <row r="24" spans="1:66">
      <c r="A24" s="23"/>
      <c r="B24" s="6"/>
      <c r="C24" s="6"/>
      <c r="D24" s="6"/>
      <c r="E24" s="6"/>
      <c r="F24" s="23"/>
      <c r="G24" s="23"/>
      <c r="H24" s="6" cm="1">
        <f t="array" ref="H24:I24">LINEST(I11:I12,H11:H12,TRUE,FALSE)</f>
        <v>-0.16108108108108135</v>
      </c>
      <c r="I24" s="6">
        <v>2.3911891891891925</v>
      </c>
      <c r="J24" s="6" cm="1">
        <f t="array" ref="J24:K24">LINEST(J11:J12,H11:H12,TRUE,FALSE)</f>
        <v>-0.63783783783783843</v>
      </c>
      <c r="K24" s="6">
        <v>9.7816216216216283</v>
      </c>
      <c r="L24" s="6" cm="1">
        <f t="array" ref="L24:M24">LINEST(L11:L12,H11:H12,TRUE,FALSE)</f>
        <v>0</v>
      </c>
      <c r="M24" s="6">
        <v>0.38</v>
      </c>
      <c r="N24" s="23"/>
      <c r="O24" s="6"/>
      <c r="P24" s="6"/>
      <c r="Q24" s="6"/>
      <c r="R24" s="6"/>
      <c r="S24" s="23"/>
      <c r="T24" s="23"/>
      <c r="U24" s="23"/>
      <c r="V24" s="23"/>
      <c r="W24" s="23"/>
      <c r="X24" s="23"/>
      <c r="Y24" s="23"/>
      <c r="Z24" s="23"/>
      <c r="AA24" s="164"/>
      <c r="AB24" s="23"/>
      <c r="AC24" s="23"/>
      <c r="AD24" s="23"/>
      <c r="AE24" s="23"/>
      <c r="AF24" s="23"/>
      <c r="AG24" s="23"/>
      <c r="AH24" s="23"/>
      <c r="AI24" s="23"/>
      <c r="AJ24" s="23"/>
      <c r="AK24" s="23"/>
      <c r="AL24" s="23"/>
      <c r="AM24" s="165"/>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row>
    <row r="25" spans="1:66">
      <c r="A25" s="23"/>
      <c r="B25" s="6"/>
      <c r="C25" s="6"/>
      <c r="D25" s="6"/>
      <c r="E25" s="6"/>
      <c r="F25" s="23"/>
      <c r="G25" s="23"/>
      <c r="H25" s="6" cm="1">
        <f t="array" ref="H25:I25">LINEST(I12:I13,H12:H13,TRUE,FALSE)</f>
        <v>-0.26285714285714262</v>
      </c>
      <c r="I25" s="6">
        <v>3.6328571428571395</v>
      </c>
      <c r="J25" s="6" cm="1">
        <f t="array" ref="J25:K25">LINEST(J12:J13,H12:H13,TRUE,FALSE)</f>
        <v>-0.28571428571428553</v>
      </c>
      <c r="K25" s="6">
        <v>5.485714285714284</v>
      </c>
      <c r="L25" s="6" cm="1">
        <f t="array" ref="L25:M25">LINEST(L12:L13,H12:H13,TRUE,FALSE)</f>
        <v>0</v>
      </c>
      <c r="M25" s="6">
        <v>0.38</v>
      </c>
      <c r="N25" s="23"/>
      <c r="O25" s="6"/>
      <c r="P25" s="6"/>
      <c r="Q25" s="6"/>
      <c r="R25" s="6"/>
      <c r="S25" s="23"/>
      <c r="T25" s="23"/>
      <c r="U25" s="23"/>
      <c r="V25" s="23"/>
      <c r="W25" s="23"/>
      <c r="X25" s="23"/>
      <c r="Y25" s="23"/>
      <c r="Z25" s="23"/>
      <c r="AA25" s="88"/>
      <c r="AB25" s="166"/>
      <c r="AC25" s="166"/>
      <c r="AD25" s="166"/>
      <c r="AE25" s="166"/>
      <c r="AF25" s="166"/>
      <c r="AG25" s="166"/>
      <c r="AH25" s="166"/>
      <c r="AI25" s="166"/>
      <c r="AJ25" s="166"/>
      <c r="AK25" s="166"/>
      <c r="AL25" s="166"/>
      <c r="AM25" s="30"/>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row>
    <row r="26" spans="1:66">
      <c r="A26" s="23"/>
      <c r="B26" s="6"/>
      <c r="C26" s="6"/>
      <c r="D26" s="6"/>
      <c r="E26" s="6"/>
      <c r="F26" s="23"/>
      <c r="G26" s="23"/>
      <c r="H26" s="23"/>
      <c r="I26" s="23"/>
      <c r="J26" s="23"/>
      <c r="K26" s="23"/>
      <c r="L26" s="23"/>
      <c r="M26" s="23"/>
      <c r="N26" s="23"/>
      <c r="O26" s="23"/>
      <c r="P26" s="23"/>
      <c r="Q26" s="23"/>
      <c r="R26" s="23"/>
      <c r="S26" s="23"/>
      <c r="T26" s="23"/>
      <c r="U26" s="23"/>
      <c r="V26" s="23"/>
      <c r="W26" s="23"/>
      <c r="X26" s="23"/>
      <c r="Y26" s="23"/>
      <c r="Z26" s="23"/>
      <c r="AA26" s="23"/>
      <c r="AB26" s="23"/>
      <c r="AC26" s="23"/>
      <c r="AD26" s="167" t="s">
        <v>667</v>
      </c>
      <c r="AE26" s="23"/>
      <c r="AF26" s="23"/>
      <c r="AG26" s="23"/>
      <c r="AH26" s="23"/>
      <c r="AI26" s="23"/>
      <c r="AJ26" s="23"/>
      <c r="AK26" s="23" t="s">
        <v>668</v>
      </c>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row>
    <row r="27" spans="1:66">
      <c r="A27" s="23"/>
      <c r="B27" s="6"/>
      <c r="C27" s="6"/>
      <c r="D27" s="6"/>
      <c r="E27" s="6"/>
      <c r="F27" s="23"/>
      <c r="G27" s="23"/>
      <c r="H27" s="23"/>
      <c r="I27" s="23"/>
      <c r="J27" s="23"/>
      <c r="K27" s="23"/>
      <c r="L27" s="23"/>
      <c r="M27" s="23"/>
      <c r="N27" s="23"/>
      <c r="O27" s="23"/>
      <c r="P27" s="23"/>
      <c r="Q27" s="23"/>
      <c r="R27" s="23"/>
      <c r="S27" s="23"/>
      <c r="T27" s="23"/>
      <c r="U27" s="23"/>
      <c r="V27" s="23"/>
      <c r="W27" s="23"/>
      <c r="X27" s="23"/>
      <c r="Y27" s="23"/>
      <c r="Z27" s="23"/>
      <c r="AA27" s="23"/>
      <c r="AB27" s="23"/>
      <c r="AC27" s="23"/>
      <c r="AD27" s="167" t="s">
        <v>669</v>
      </c>
      <c r="AE27" s="23"/>
      <c r="AF27" s="23"/>
      <c r="AG27" s="23"/>
      <c r="AH27" s="23"/>
      <c r="AI27" s="23"/>
      <c r="AJ27" s="23"/>
      <c r="AK27" s="23" t="s">
        <v>670</v>
      </c>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row>
    <row r="28" spans="1:66">
      <c r="A28" s="23"/>
      <c r="B28" s="6"/>
      <c r="C28" s="6"/>
      <c r="D28" s="6"/>
      <c r="E28" s="6"/>
      <c r="F28" s="23"/>
      <c r="G28" s="23"/>
      <c r="H28" s="23"/>
      <c r="I28" s="23"/>
      <c r="J28" s="23"/>
      <c r="K28" s="23"/>
      <c r="L28" s="23"/>
      <c r="M28" s="23"/>
      <c r="N28" s="23"/>
      <c r="O28" s="23"/>
      <c r="P28" s="23"/>
      <c r="Q28" s="23"/>
      <c r="R28" s="23"/>
      <c r="S28" s="23"/>
      <c r="T28" s="23"/>
      <c r="U28" s="23"/>
      <c r="V28" s="23"/>
      <c r="W28" s="23"/>
      <c r="X28" s="23"/>
      <c r="Y28" s="23"/>
      <c r="Z28" s="23"/>
      <c r="AA28" s="23"/>
      <c r="AB28" s="23"/>
      <c r="AC28" s="23"/>
      <c r="AD28" s="167" t="s">
        <v>667</v>
      </c>
      <c r="AE28" s="23"/>
      <c r="AF28" s="23"/>
      <c r="AG28" s="23"/>
      <c r="AH28" s="23"/>
      <c r="AI28" s="23"/>
      <c r="AJ28" s="23"/>
      <c r="AK28" s="23" t="s">
        <v>116</v>
      </c>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row>
    <row r="29" spans="1:66" ht="19.5">
      <c r="A29" s="23"/>
      <c r="B29" s="6"/>
      <c r="C29" s="6"/>
      <c r="D29" s="6"/>
      <c r="E29" s="6"/>
      <c r="F29" s="23"/>
      <c r="G29" s="23"/>
      <c r="H29" s="23"/>
      <c r="I29" s="23"/>
      <c r="J29" s="23"/>
      <c r="K29" s="23"/>
      <c r="L29" s="23"/>
      <c r="M29" s="23"/>
      <c r="N29" s="23"/>
      <c r="O29" s="23"/>
      <c r="P29" s="23"/>
      <c r="Q29" s="23"/>
      <c r="R29" s="23"/>
      <c r="S29" s="23"/>
      <c r="T29" s="23"/>
      <c r="U29" s="23"/>
      <c r="V29" s="23"/>
      <c r="W29" s="155"/>
      <c r="X29" s="23"/>
      <c r="Y29" s="23"/>
      <c r="Z29" s="23"/>
      <c r="AA29" s="23"/>
      <c r="AB29" s="23"/>
      <c r="AC29" s="23"/>
      <c r="AD29" s="167" t="s">
        <v>669</v>
      </c>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row>
    <row r="30" spans="1:66" ht="19.5">
      <c r="A30" s="23"/>
      <c r="B30" s="6"/>
      <c r="C30" s="6"/>
      <c r="D30" s="6"/>
      <c r="E30" s="6"/>
      <c r="F30" s="23"/>
      <c r="G30" s="23"/>
      <c r="H30" s="23"/>
      <c r="I30" s="23"/>
      <c r="J30" s="23"/>
      <c r="K30" s="23"/>
      <c r="L30" s="23"/>
      <c r="M30" s="23"/>
      <c r="N30" s="23"/>
      <c r="O30" s="23"/>
      <c r="P30" s="23"/>
      <c r="Q30" s="23"/>
      <c r="R30" s="23"/>
      <c r="S30" s="23"/>
      <c r="T30" s="23"/>
      <c r="U30" s="23"/>
      <c r="V30" s="23"/>
      <c r="W30" s="23"/>
      <c r="X30" s="23"/>
      <c r="Y30" s="155"/>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row>
    <row r="31" spans="1:66">
      <c r="A31" s="23"/>
      <c r="B31" s="6"/>
      <c r="C31" s="6"/>
      <c r="D31" s="6"/>
      <c r="E31" s="6"/>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row>
    <row r="32" spans="1:66">
      <c r="A32" s="23"/>
      <c r="B32" s="6"/>
      <c r="C32" s="6"/>
      <c r="D32" s="6"/>
      <c r="E32" s="6"/>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row>
    <row r="33" spans="1:67">
      <c r="A33" s="23"/>
      <c r="B33" s="6" t="s">
        <v>671</v>
      </c>
      <c r="C33" s="6"/>
      <c r="D33" s="6"/>
      <c r="E33" s="6"/>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row>
    <row r="34" spans="1:67">
      <c r="A34" s="23"/>
      <c r="B34" s="6"/>
      <c r="C34" s="6"/>
      <c r="D34" s="6"/>
      <c r="E34" s="6"/>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row>
    <row r="35" spans="1:67">
      <c r="A35" s="23"/>
      <c r="B35" s="6"/>
      <c r="C35" s="6"/>
      <c r="D35" s="6"/>
      <c r="E35" s="6"/>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row>
    <row r="36" spans="1:67">
      <c r="A36" s="23"/>
      <c r="B36" s="6"/>
      <c r="C36" s="6"/>
      <c r="D36" s="6"/>
      <c r="E36" s="6"/>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row>
    <row r="37" spans="1:67">
      <c r="A37" s="23"/>
      <c r="B37" s="6"/>
      <c r="C37" s="6"/>
      <c r="D37" s="6"/>
      <c r="E37" s="6"/>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row>
    <row r="38" spans="1:67">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row>
    <row r="39" spans="1:67">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row>
    <row r="40" spans="1:67">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row>
    <row r="41" spans="1:67">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row>
    <row r="42" spans="1:67">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row>
    <row r="43" spans="1:67">
      <c r="A43" s="23"/>
      <c r="B43" s="23"/>
      <c r="C43" s="23"/>
      <c r="D43" s="23"/>
      <c r="E43" s="23"/>
      <c r="F43" s="23"/>
      <c r="G43" s="23"/>
      <c r="H43" s="23"/>
      <c r="I43" s="23"/>
      <c r="J43" s="23"/>
      <c r="K43" s="23"/>
      <c r="L43" s="23"/>
      <c r="M43" s="23"/>
      <c r="N43" s="23"/>
      <c r="O43" s="23"/>
      <c r="P43" s="23"/>
      <c r="Q43" s="23"/>
      <c r="R43" s="23">
        <f>P51/T51</f>
        <v>8.5834577309185747</v>
      </c>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row>
    <row r="44" spans="1:67" ht="19.5">
      <c r="A44" s="23"/>
      <c r="B44" s="2" t="s">
        <v>672</v>
      </c>
      <c r="C44" s="168">
        <v>0</v>
      </c>
      <c r="D44" s="169" t="s">
        <v>145</v>
      </c>
      <c r="E44" s="23"/>
      <c r="F44" s="23" t="s">
        <v>673</v>
      </c>
      <c r="G44" s="23"/>
      <c r="H44" s="23"/>
      <c r="I44" s="23"/>
      <c r="J44" s="23"/>
      <c r="K44" s="23"/>
      <c r="L44" s="23"/>
      <c r="M44" s="23"/>
      <c r="N44" s="23"/>
      <c r="O44" s="23"/>
      <c r="P44" s="23"/>
      <c r="Q44" s="23"/>
      <c r="R44" s="23">
        <f>Q51/R43</f>
        <v>1.5045255465026894E-2</v>
      </c>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row>
    <row r="45" spans="1:67" ht="19.5">
      <c r="A45" s="23"/>
      <c r="B45" s="2" t="s">
        <v>675</v>
      </c>
      <c r="C45" s="168">
        <v>13.1</v>
      </c>
      <c r="D45" s="169" t="s">
        <v>145</v>
      </c>
      <c r="E45" s="23"/>
      <c r="F45" s="170" t="s">
        <v>676</v>
      </c>
      <c r="G45" s="170" t="s">
        <v>677</v>
      </c>
      <c r="H45" s="170" t="s">
        <v>783</v>
      </c>
      <c r="I45" s="274" t="s">
        <v>785</v>
      </c>
      <c r="J45" s="164"/>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row>
    <row r="46" spans="1:67" ht="19.5">
      <c r="A46" s="23"/>
      <c r="B46" s="2" t="s">
        <v>678</v>
      </c>
      <c r="C46" s="168">
        <v>0.15</v>
      </c>
      <c r="D46" s="169" t="s">
        <v>98</v>
      </c>
      <c r="E46" s="23"/>
      <c r="F46" s="6">
        <f>'主翼(桁)'!M8</f>
        <v>1.35</v>
      </c>
      <c r="G46" s="6">
        <f>'主翼(桁)'!M10</f>
        <v>4.8499999999999996</v>
      </c>
      <c r="H46" s="6">
        <f>'主翼(桁)'!M12</f>
        <v>8.5500000000000007</v>
      </c>
      <c r="I46" s="175">
        <f>'主翼(桁)'!M14-0.15</f>
        <v>12.2</v>
      </c>
      <c r="J46" s="164"/>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row>
    <row r="47" spans="1:67" ht="19.5" thickBot="1">
      <c r="A47" s="23"/>
      <c r="B47" s="23"/>
      <c r="C47" s="23"/>
      <c r="D47" s="23"/>
      <c r="E47" s="23"/>
      <c r="F47" s="23"/>
      <c r="G47" s="23"/>
      <c r="H47" s="23"/>
      <c r="I47" s="23" t="s">
        <v>679</v>
      </c>
      <c r="J47" s="23"/>
      <c r="K47" s="23"/>
      <c r="L47" s="23"/>
      <c r="M47" s="23"/>
      <c r="N47" s="23" t="s">
        <v>680</v>
      </c>
      <c r="O47" s="23"/>
      <c r="P47" s="23"/>
      <c r="Q47" s="23"/>
      <c r="R47" s="23"/>
      <c r="S47" s="23"/>
      <c r="T47" s="23"/>
      <c r="U47" s="23"/>
      <c r="V47" s="23"/>
      <c r="W47" s="23"/>
      <c r="X47" s="23"/>
      <c r="Y47" s="23"/>
      <c r="Z47" s="23"/>
      <c r="AA47" s="23"/>
      <c r="AB47" s="23"/>
      <c r="AC47" s="23"/>
      <c r="AD47" s="23"/>
      <c r="AE47" s="23" t="s">
        <v>681</v>
      </c>
      <c r="AF47" s="23"/>
      <c r="AG47" s="23"/>
      <c r="AH47" s="23"/>
      <c r="AI47" s="23"/>
      <c r="AJ47" s="23"/>
      <c r="AK47" s="23"/>
      <c r="AL47" s="23"/>
      <c r="AM47" s="23"/>
      <c r="AN47" s="23"/>
      <c r="AO47" s="23" t="s">
        <v>682</v>
      </c>
      <c r="AP47" s="23"/>
      <c r="AQ47" s="23"/>
      <c r="AR47" s="23"/>
      <c r="AS47" s="23"/>
      <c r="AT47" s="23"/>
      <c r="AU47" s="23" t="s">
        <v>683</v>
      </c>
      <c r="AV47" s="23"/>
      <c r="AW47" s="23"/>
      <c r="AX47" s="23"/>
      <c r="AY47" s="23"/>
      <c r="AZ47" s="23"/>
      <c r="BA47" s="23"/>
      <c r="BB47" s="23"/>
      <c r="BC47" s="23"/>
      <c r="BD47" s="23"/>
      <c r="BE47" s="23"/>
      <c r="BF47" s="23"/>
      <c r="BG47" s="23"/>
      <c r="BH47" s="23"/>
      <c r="BI47" s="23"/>
      <c r="BJ47" s="23"/>
      <c r="BK47" s="23"/>
      <c r="BL47" s="23"/>
      <c r="BM47" s="23"/>
      <c r="BN47" s="23"/>
      <c r="BO47" s="23"/>
    </row>
    <row r="48" spans="1:67" ht="19.5" thickBot="1">
      <c r="A48" s="23"/>
      <c r="B48" s="2" t="s">
        <v>684</v>
      </c>
      <c r="C48" s="83" t="s">
        <v>685</v>
      </c>
      <c r="D48" s="83" t="s">
        <v>609</v>
      </c>
      <c r="E48" s="171" t="s">
        <v>686</v>
      </c>
      <c r="F48" s="172" t="s">
        <v>687</v>
      </c>
      <c r="G48" s="172" t="s">
        <v>688</v>
      </c>
      <c r="H48" s="173" t="s">
        <v>650</v>
      </c>
      <c r="I48" s="174" t="s">
        <v>689</v>
      </c>
      <c r="J48" s="83" t="s">
        <v>690</v>
      </c>
      <c r="K48" s="2" t="s">
        <v>612</v>
      </c>
      <c r="L48" s="83" t="s">
        <v>574</v>
      </c>
      <c r="M48" s="107" t="s">
        <v>691</v>
      </c>
      <c r="N48" s="83" t="s">
        <v>692</v>
      </c>
      <c r="O48" s="2" t="s">
        <v>693</v>
      </c>
      <c r="P48" s="109" t="s">
        <v>694</v>
      </c>
      <c r="Q48" s="2" t="s">
        <v>695</v>
      </c>
      <c r="R48" s="2" t="s">
        <v>1168</v>
      </c>
      <c r="S48" s="2" t="s">
        <v>1168</v>
      </c>
      <c r="T48" s="2" t="s">
        <v>174</v>
      </c>
      <c r="U48" s="2" t="s">
        <v>696</v>
      </c>
      <c r="V48" s="2" t="s">
        <v>697</v>
      </c>
      <c r="W48" s="2" t="s">
        <v>200</v>
      </c>
      <c r="X48" s="2" t="s">
        <v>698</v>
      </c>
      <c r="Y48" s="2" t="s">
        <v>181</v>
      </c>
      <c r="Z48" s="2" t="s">
        <v>699</v>
      </c>
      <c r="AA48" s="2" t="s">
        <v>700</v>
      </c>
      <c r="AB48" s="107" t="s">
        <v>701</v>
      </c>
      <c r="AC48" s="107" t="s">
        <v>1172</v>
      </c>
      <c r="AD48" s="106" t="s">
        <v>702</v>
      </c>
      <c r="AE48" s="109" t="s">
        <v>703</v>
      </c>
      <c r="AF48" s="109" t="s">
        <v>704</v>
      </c>
      <c r="AG48" s="109" t="s">
        <v>705</v>
      </c>
      <c r="AH48" s="2" t="s">
        <v>706</v>
      </c>
      <c r="AI48" s="2" t="s">
        <v>707</v>
      </c>
      <c r="AJ48" s="2" t="s">
        <v>708</v>
      </c>
      <c r="AK48" s="2" t="s">
        <v>709</v>
      </c>
      <c r="AL48" s="109" t="s">
        <v>171</v>
      </c>
      <c r="AM48" s="2" t="s">
        <v>710</v>
      </c>
      <c r="AN48" s="83" t="s">
        <v>711</v>
      </c>
      <c r="AO48" s="2" t="s">
        <v>712</v>
      </c>
      <c r="AP48" s="2" t="s">
        <v>713</v>
      </c>
      <c r="AQ48" s="2" t="s">
        <v>714</v>
      </c>
      <c r="AR48" s="2" t="s">
        <v>715</v>
      </c>
      <c r="AS48" s="2" t="s">
        <v>716</v>
      </c>
      <c r="AT48" s="2" t="s">
        <v>674</v>
      </c>
      <c r="AU48" s="2" t="s">
        <v>717</v>
      </c>
      <c r="AV48" s="174" t="s">
        <v>718</v>
      </c>
      <c r="AW48" s="83" t="s">
        <v>719</v>
      </c>
      <c r="AX48" s="83" t="s">
        <v>720</v>
      </c>
      <c r="AY48" s="164"/>
      <c r="AZ48" s="23"/>
      <c r="BA48" s="23"/>
      <c r="BB48" s="23"/>
      <c r="BC48" s="23"/>
      <c r="BD48" s="23"/>
      <c r="BE48" s="23"/>
      <c r="BF48" s="23"/>
      <c r="BG48" s="23"/>
      <c r="BH48" s="23"/>
      <c r="BI48" s="23"/>
      <c r="BJ48" s="23"/>
      <c r="BK48" s="23"/>
      <c r="BL48" s="23"/>
      <c r="BM48" s="23"/>
      <c r="BN48" s="23"/>
    </row>
    <row r="49" spans="1:66">
      <c r="A49" s="23"/>
      <c r="B49" s="6" t="s">
        <v>723</v>
      </c>
      <c r="C49" s="175" t="s">
        <v>538</v>
      </c>
      <c r="D49" s="6" t="s">
        <v>724</v>
      </c>
      <c r="E49" s="88" t="s">
        <v>725</v>
      </c>
      <c r="F49" s="176" t="s">
        <v>601</v>
      </c>
      <c r="G49" s="176" t="s">
        <v>601</v>
      </c>
      <c r="H49" s="177" t="s">
        <v>601</v>
      </c>
      <c r="I49" s="175" t="s">
        <v>601</v>
      </c>
      <c r="J49" s="175" t="s">
        <v>601</v>
      </c>
      <c r="K49" s="6" t="s">
        <v>601</v>
      </c>
      <c r="L49" s="175"/>
      <c r="M49" s="36" t="s">
        <v>601</v>
      </c>
      <c r="N49" s="178" t="s">
        <v>726</v>
      </c>
      <c r="O49" s="157" t="s">
        <v>727</v>
      </c>
      <c r="P49" s="179" t="s">
        <v>203</v>
      </c>
      <c r="Q49" s="157" t="s">
        <v>206</v>
      </c>
      <c r="R49" s="157" t="s">
        <v>1169</v>
      </c>
      <c r="S49" s="157" t="s">
        <v>1170</v>
      </c>
      <c r="T49" s="157" t="s">
        <v>728</v>
      </c>
      <c r="U49" s="157" t="s">
        <v>1171</v>
      </c>
      <c r="V49" s="157" t="s">
        <v>729</v>
      </c>
      <c r="W49" s="157" t="s">
        <v>730</v>
      </c>
      <c r="X49" s="157" t="s">
        <v>731</v>
      </c>
      <c r="Y49" s="157" t="s">
        <v>732</v>
      </c>
      <c r="Z49" s="157" t="s">
        <v>1174</v>
      </c>
      <c r="AA49" s="157" t="s">
        <v>733</v>
      </c>
      <c r="AB49" s="180" t="s">
        <v>734</v>
      </c>
      <c r="AC49" s="180" t="s">
        <v>1173</v>
      </c>
      <c r="AD49" s="181" t="s">
        <v>601</v>
      </c>
      <c r="AE49" s="34" t="s">
        <v>601</v>
      </c>
      <c r="AF49" s="34" t="s">
        <v>601</v>
      </c>
      <c r="AG49" s="34" t="s">
        <v>601</v>
      </c>
      <c r="AH49" s="6" t="s">
        <v>735</v>
      </c>
      <c r="AI49" s="6" t="s">
        <v>736</v>
      </c>
      <c r="AJ49" s="6" t="s">
        <v>737</v>
      </c>
      <c r="AK49" s="6" t="s">
        <v>738</v>
      </c>
      <c r="AL49" s="34" t="s">
        <v>726</v>
      </c>
      <c r="AM49" s="6" t="s">
        <v>739</v>
      </c>
      <c r="AN49" s="178" t="s">
        <v>740</v>
      </c>
      <c r="AO49" s="157" t="s">
        <v>741</v>
      </c>
      <c r="AP49" s="157" t="s">
        <v>742</v>
      </c>
      <c r="AQ49" s="157" t="s">
        <v>743</v>
      </c>
      <c r="AR49" s="157" t="s">
        <v>744</v>
      </c>
      <c r="AS49" s="157" t="s">
        <v>745</v>
      </c>
      <c r="AT49" s="157"/>
      <c r="AU49" s="157"/>
      <c r="AV49" s="182" t="s">
        <v>601</v>
      </c>
      <c r="AW49" s="175" t="s">
        <v>601</v>
      </c>
      <c r="AX49" s="175" t="s">
        <v>601</v>
      </c>
      <c r="AY49" s="164"/>
      <c r="AZ49" s="23"/>
      <c r="BA49" s="23"/>
      <c r="BB49" s="23"/>
      <c r="BC49" s="23"/>
      <c r="BD49" s="23"/>
      <c r="BE49" s="23"/>
      <c r="BF49" s="23"/>
      <c r="BG49" s="23"/>
      <c r="BH49" s="1"/>
      <c r="BI49" s="1"/>
      <c r="BJ49" s="23"/>
      <c r="BK49" s="23"/>
      <c r="BL49" s="23"/>
      <c r="BM49" s="23"/>
      <c r="BN49" s="23"/>
    </row>
    <row r="50" spans="1:66" ht="19.5" thickBot="1">
      <c r="A50" s="23"/>
      <c r="B50" s="45" t="s">
        <v>601</v>
      </c>
      <c r="C50" s="161" t="s">
        <v>599</v>
      </c>
      <c r="D50" s="45" t="s">
        <v>628</v>
      </c>
      <c r="E50" s="11" t="s">
        <v>599</v>
      </c>
      <c r="F50" s="183" t="s">
        <v>601</v>
      </c>
      <c r="G50" s="159" t="s">
        <v>601</v>
      </c>
      <c r="H50" s="184" t="s">
        <v>601</v>
      </c>
      <c r="I50" s="265" t="s">
        <v>749</v>
      </c>
      <c r="J50" s="11" t="s">
        <v>749</v>
      </c>
      <c r="K50" s="11" t="s">
        <v>495</v>
      </c>
      <c r="L50" s="11"/>
      <c r="M50" s="185" t="s">
        <v>749</v>
      </c>
      <c r="N50" s="186" t="s">
        <v>750</v>
      </c>
      <c r="O50" s="183" t="s">
        <v>601</v>
      </c>
      <c r="P50" s="187" t="s">
        <v>106</v>
      </c>
      <c r="Q50" s="183" t="s">
        <v>106</v>
      </c>
      <c r="R50" s="183" t="s">
        <v>751</v>
      </c>
      <c r="S50" s="183" t="s">
        <v>751</v>
      </c>
      <c r="T50" s="183" t="s">
        <v>601</v>
      </c>
      <c r="U50" s="183" t="s">
        <v>601</v>
      </c>
      <c r="V50" s="183" t="s">
        <v>601</v>
      </c>
      <c r="W50" s="183" t="s">
        <v>601</v>
      </c>
      <c r="X50" s="183" t="s">
        <v>601</v>
      </c>
      <c r="Y50" s="183" t="s">
        <v>752</v>
      </c>
      <c r="Z50" s="183" t="s">
        <v>752</v>
      </c>
      <c r="AA50" s="183" t="s">
        <v>753</v>
      </c>
      <c r="AB50" s="188" t="s">
        <v>754</v>
      </c>
      <c r="AC50" s="188" t="s">
        <v>750</v>
      </c>
      <c r="AD50" s="189" t="s">
        <v>77</v>
      </c>
      <c r="AE50" s="163" t="s">
        <v>77</v>
      </c>
      <c r="AF50" s="163" t="s">
        <v>77</v>
      </c>
      <c r="AG50" s="163" t="s">
        <v>77</v>
      </c>
      <c r="AH50" s="11" t="s">
        <v>599</v>
      </c>
      <c r="AI50" s="11" t="s">
        <v>599</v>
      </c>
      <c r="AJ50" s="11" t="s">
        <v>599</v>
      </c>
      <c r="AK50" s="11" t="s">
        <v>599</v>
      </c>
      <c r="AL50" s="163" t="s">
        <v>90</v>
      </c>
      <c r="AM50" s="11" t="s">
        <v>90</v>
      </c>
      <c r="AN50" s="186" t="s">
        <v>750</v>
      </c>
      <c r="AO50" s="183" t="s">
        <v>750</v>
      </c>
      <c r="AP50" s="183" t="s">
        <v>599</v>
      </c>
      <c r="AQ50" s="183" t="s">
        <v>599</v>
      </c>
      <c r="AR50" s="183" t="s">
        <v>599</v>
      </c>
      <c r="AS50" s="183" t="s">
        <v>750</v>
      </c>
      <c r="AT50" s="183" t="s">
        <v>331</v>
      </c>
      <c r="AU50" s="183" t="s">
        <v>145</v>
      </c>
      <c r="AV50" s="162" t="s">
        <v>599</v>
      </c>
      <c r="AW50" s="161" t="s">
        <v>599</v>
      </c>
      <c r="AX50" s="161" t="s">
        <v>599</v>
      </c>
      <c r="AY50" s="276"/>
      <c r="AZ50" s="277"/>
      <c r="BA50" s="277"/>
      <c r="BB50" s="23"/>
      <c r="BC50" s="23"/>
      <c r="BD50" s="23"/>
      <c r="BE50" s="23"/>
      <c r="BF50" s="23"/>
      <c r="BG50" s="277"/>
      <c r="BH50" s="1"/>
      <c r="BI50" s="1"/>
      <c r="BJ50" s="23"/>
      <c r="BK50" s="23"/>
      <c r="BL50" s="23"/>
      <c r="BM50" s="23"/>
      <c r="BN50" s="23"/>
    </row>
    <row r="51" spans="1:66" ht="19.5" thickTop="1">
      <c r="A51" s="23">
        <f>(I51+15)/D51</f>
        <v>0.12373454545454546</v>
      </c>
      <c r="B51" s="192">
        <v>0</v>
      </c>
      <c r="C51" s="102">
        <v>0</v>
      </c>
      <c r="D51" s="102">
        <f>IF($C51&lt;$H$7,$H$19*$C51+$I$19,IF($C51&lt;$H$8,$H$20*$C51+$I$20,IF($C51&lt;$H$9,$H$21*$C51+$I$21,IF($C51&lt;$H$10,$H$22*$C51+$I$22,IF($C51&lt;$H$11,$H$23*$C51+$I$23,IF($C51&lt;$H$12,$H$24*$C51+$I$24,$H$25*$C51+$I$25))))))*10^3</f>
        <v>1100</v>
      </c>
      <c r="E51" s="87">
        <v>0.15</v>
      </c>
      <c r="F51" s="103" t="str">
        <f>IF(C51&lt;$H$7,"flat",IF(C51&lt;$H$8,"1st",IF(C51&lt;$H$9,"2nd",IF(C51&lt;$H$10,"3rd",IF(C51&lt;$H$11,"4th",IF(C51&lt;$H$12,"5th","6th"))))))</f>
        <v>flat</v>
      </c>
      <c r="G51" s="87" t="str" cm="1">
        <f t="array" ref="G51">_xlfn.SWITCH(TRUE,
  OR(C51=$F$46, C51=$G$46, C51=$H$46, C51=$I$46), "端リブ",
  C51&lt;$F$46, "0番",
  C51&lt;$G$46, "1番",
  C51&lt;$H$46, "2番",
  C51&lt;$I$46, "3番",
  C51&lt;$J$46, "4番",
  "ウィングレット"
)</f>
        <v>0番</v>
      </c>
      <c r="H51" s="264" t="s">
        <v>755</v>
      </c>
      <c r="I51" s="12">
        <f>'主翼(桁)'!F45*2</f>
        <v>121.108</v>
      </c>
      <c r="J51" s="12">
        <f>'主翼(桁)'!G45*2</f>
        <v>121.108</v>
      </c>
      <c r="K51" s="102">
        <f t="shared" ref="K51:K114" si="0">IF($C51&lt;$H$7,$L$19*$C51+$M$19,IF($C51&lt;$H$8,$L$20*$C51+$M$20,IF($C51&lt;$H$9,$L$21*$C51+$M$21,IF($C51&lt;$H$10,$L$22*$C51+$M$23,IF($C51&lt;$H$11,$L$23*$C51+$M$22,IF($C51&lt;$H$12,$L$24*$C51+$M$24,$L$25*$C51+$M$25))))))</f>
        <v>0.38</v>
      </c>
      <c r="L51" s="12">
        <f>'主翼(平面形結果)'!O208</f>
        <v>160.52660379928719</v>
      </c>
      <c r="M51" s="272">
        <f>L51-I51</f>
        <v>39.418603799287183</v>
      </c>
      <c r="N51" s="193">
        <v>4.8910209621011864</v>
      </c>
      <c r="O51" s="193">
        <v>561565.51795163588</v>
      </c>
      <c r="P51" s="193">
        <v>9.7586133556141181</v>
      </c>
      <c r="Q51" s="193">
        <v>0.12914031433493003</v>
      </c>
      <c r="R51" s="193">
        <v>-1.2173812721911152</v>
      </c>
      <c r="S51" s="193">
        <v>-0.14393380307356229</v>
      </c>
      <c r="T51" s="193">
        <v>1.1369093506993693</v>
      </c>
      <c r="U51" s="193">
        <v>8.539336593677338E-3</v>
      </c>
      <c r="V51" s="193">
        <v>6.4880512707922748E-3</v>
      </c>
      <c r="W51" s="193">
        <v>-0.12893524755879837</v>
      </c>
      <c r="X51" s="193">
        <v>-1.5244312488861475E-2</v>
      </c>
      <c r="Y51" s="193">
        <v>0.10360821519577525</v>
      </c>
      <c r="Z51" s="193">
        <v>5.1516933600077993E-4</v>
      </c>
      <c r="AA51" s="193">
        <v>5.9403513574042046</v>
      </c>
      <c r="AB51" s="193">
        <v>5.498423015381336E-2</v>
      </c>
      <c r="AC51" s="193">
        <v>0.33161359478963309</v>
      </c>
      <c r="AD51" s="181" t="str">
        <f t="shared" ref="AD51:AD114" si="1">IF($C51&lt;$H$7,$M$6,IF($C51&lt;$H$8,$M$7,IF($C51&lt;$H$9,$M$8,IF($C51&lt;$H$10,$M$9,IF($C51&lt;$H$11,$M$10,IF($C51&lt;$H$12,$M$11,$M$12))))))</f>
        <v>QX0026 root.dat</v>
      </c>
      <c r="AE51" s="6">
        <f>100-AG51</f>
        <v>100</v>
      </c>
      <c r="AF51" s="6" t="str">
        <f t="shared" ref="AF51:AF114" si="2">IF($C51&lt;$H$7,$M$7,IF($C51&lt;$H$8,$M$8,IF($C51&lt;$H$9,$M$9,IF($C51&lt;$H$10,$M$10,IF($C51&lt;$H$11,$M$11,IF($C51&lt;$H$12,$M$12,$M$13))))))</f>
        <v>QX0026 root.dat</v>
      </c>
      <c r="AG51" s="6" cm="1">
        <f t="array" ref="AG51">IF(AD51=AF51,0,
  _xlfn.SWITCH(TRUE,
    $C51&lt;$H$7,  ($C51-$H$6)/($H$7-$H$6),
    $C51&lt;$H$8,  ($C51-$H$7)/($H$8-$H$7),
    $C51&lt;$H$9,  ($C51-$H$8)/($H$9-$H$8),
    $C51&lt;$H$10, ($C51-$H$9)/($H$10-$H$9),
    $C51&lt;$H$11, ($C51-$H$10)/($H$11-$H$10),
    $C51&lt;$H$12, ($C51-$H$11)/($H$12-$H$11),
    ($C51-$H$12)/($H$13-$H$12)
  )*100
)</f>
        <v>0</v>
      </c>
      <c r="AH51" s="6">
        <f t="shared" ref="AH51:AH82" si="3">D51*K51/1000</f>
        <v>0.41799999999999998</v>
      </c>
      <c r="AI51" s="6">
        <f t="shared" ref="AI51:AI82" si="4">AH51-D51/1000</f>
        <v>-0.68200000000000016</v>
      </c>
      <c r="AJ51" s="6">
        <v>0</v>
      </c>
      <c r="AK51" s="6">
        <v>0</v>
      </c>
      <c r="AL51" s="6">
        <f t="shared" ref="AL51:AL114" si="5">IF($C51&lt;$H$7,$J$19*$C51+$K$19,IF($C51&lt;$H$8,$J$20*$C51+$K$20,IF($C51&lt;$H$9,$J$21*$C51+$K$21,IF($C51&lt;$H$10,$J$22*$C51+$K$22,IF($C51&lt;$H$11,$J$23*$C51+$K$23,IF($C51&lt;$H$12,$J$24*$C51+$K$24,$J$25*$C51+$K$25))))))</f>
        <v>3.7199999999999998</v>
      </c>
      <c r="AM51" s="30">
        <f t="shared" ref="AM51:AM114" si="6">IF($C51&lt;$H$7,$K$6,IF($C51&lt;$H$8,$K$7,IF($C51&lt;$H$9,$K$8,IF($C51&lt;$H$10,$K$9,IF($C51&lt;$H$11,$K$10,IF($C51&lt;$H$12,$K$11,$K$12))))))</f>
        <v>0</v>
      </c>
      <c r="AN51" s="198">
        <v>3.7188899551005843</v>
      </c>
      <c r="AO51" s="196">
        <v>7.2744648281436189E-2</v>
      </c>
      <c r="AP51" s="196">
        <v>0</v>
      </c>
      <c r="AQ51" s="196">
        <v>0</v>
      </c>
      <c r="AR51" s="196">
        <v>0</v>
      </c>
      <c r="AS51" s="196">
        <v>0</v>
      </c>
      <c r="AT51" s="196">
        <f t="shared" ref="AT51:AT82" si="7">$AY$45*(D51/10^3)^2</f>
        <v>0</v>
      </c>
      <c r="AU51" s="196">
        <f t="shared" ref="AU51:AU82" si="8">D51*$AZ$45/10^3</f>
        <v>0</v>
      </c>
      <c r="AV51" s="196">
        <f t="shared" ref="AV51:AV114" si="9">$AU$51*0.85/2</f>
        <v>0</v>
      </c>
      <c r="AW51" s="196">
        <f>AU51*0.75/2</f>
        <v>0</v>
      </c>
      <c r="AX51" s="198">
        <f>AU51*0.4/2</f>
        <v>0</v>
      </c>
      <c r="AY51" s="164"/>
      <c r="AZ51" s="23"/>
      <c r="BA51" s="23"/>
      <c r="BB51" s="23"/>
      <c r="BC51" s="23"/>
      <c r="BD51" s="23"/>
      <c r="BE51" s="23"/>
      <c r="BF51" s="23"/>
      <c r="BG51" s="23"/>
      <c r="BH51" s="23"/>
      <c r="BI51" s="23"/>
      <c r="BJ51" s="23"/>
      <c r="BK51" s="23"/>
      <c r="BL51" s="23"/>
      <c r="BM51" s="23"/>
      <c r="BN51" s="23"/>
    </row>
    <row r="52" spans="1:66">
      <c r="A52" s="23">
        <f t="shared" ref="A52:A115" si="10">(I52+15)/D52</f>
        <v>0.12373454545454546</v>
      </c>
      <c r="B52" s="158">
        <v>1</v>
      </c>
      <c r="C52" s="6">
        <f>C51+E51</f>
        <v>0.15</v>
      </c>
      <c r="D52" s="12">
        <f t="shared" ref="D52:D114" si="11">IF($C52&lt;$H$7,$H$19*$C52+$I$19,IF($C52&lt;$H$8,$H$20*$C52+$I$20,IF($C52&lt;$H$9,$H$21*$C52+$I$21,IF($C52&lt;$H$10,$H$22*$C52+$I$22,IF($C52&lt;$H$11,$H$23*$C52+$I$23,IF($C52&lt;$H$12,$H$24*$C52+$I$24,$H$25*$C52+$I$25))))))*10^3</f>
        <v>1100</v>
      </c>
      <c r="E52" s="93">
        <v>0.15</v>
      </c>
      <c r="F52" s="87" t="str">
        <f t="shared" ref="F52:F83" si="12">IF(C52&lt;$H$7,"flat",IF(C52&lt;$H$8,"1st",IF(C52&lt;$H$9,"2nd",IF(C52&lt;$H$10,"3rd",IF(C52&lt;$H$11,"4th",IF(C52&lt;$H$12,"5th","6th"))))))</f>
        <v>flat</v>
      </c>
      <c r="G52" s="87" t="str" cm="1">
        <f t="array" ref="G52">_xlfn.SWITCH(TRUE,
  OR(C52=$F$46, C52=$G$46, C52=$H$46, C52=$I$46), "端リブ",
  C52&lt;$F$46, "0番",
  C52&lt;$G$46, "1番",
  C52&lt;$H$46, "2番",
  C52&lt;$I$46, "3番",
  C52&lt;$J$46, "4番",
  "ウィングレット"
)</f>
        <v>0番</v>
      </c>
      <c r="H52" s="229" t="s">
        <v>755</v>
      </c>
      <c r="I52" s="6">
        <f>'主翼(桁)'!F46*2</f>
        <v>121.108</v>
      </c>
      <c r="J52" s="6">
        <f>'主翼(桁)'!G46*2</f>
        <v>121.108</v>
      </c>
      <c r="K52" s="6">
        <f t="shared" si="0"/>
        <v>0.38</v>
      </c>
      <c r="L52" s="6">
        <f>'主翼(平面形結果)'!O209</f>
        <v>160.52660379928719</v>
      </c>
      <c r="M52" s="198">
        <f t="shared" ref="M52:M115" si="13">L52-I52</f>
        <v>39.418603799287183</v>
      </c>
      <c r="N52" s="273">
        <v>4.8892149029112426</v>
      </c>
      <c r="O52" s="195">
        <v>561565.51795163588</v>
      </c>
      <c r="P52" s="195">
        <v>9.7569454578228942</v>
      </c>
      <c r="Q52" s="195">
        <v>0.1290551948836387</v>
      </c>
      <c r="R52" s="195">
        <v>-1.217398616441677</v>
      </c>
      <c r="S52" s="195">
        <v>-0.1441346160811588</v>
      </c>
      <c r="T52" s="195">
        <v>1.1367222133637449</v>
      </c>
      <c r="U52" s="195">
        <v>8.5384066665470382E-3</v>
      </c>
      <c r="V52" s="195">
        <v>6.4821428794341971E-3</v>
      </c>
      <c r="W52" s="195">
        <v>-0.12893789872414418</v>
      </c>
      <c r="X52" s="195">
        <v>-1.5265677387769724E-2</v>
      </c>
      <c r="Y52" s="195">
        <v>0.10362456523869318</v>
      </c>
      <c r="Z52" s="195">
        <v>5.1461662999830468E-4</v>
      </c>
      <c r="AA52" s="195">
        <v>5.9393735648255674</v>
      </c>
      <c r="AB52" s="195">
        <v>5.5071374997646826E-2</v>
      </c>
      <c r="AC52" s="195">
        <v>0.33213915944625028</v>
      </c>
      <c r="AD52" s="181" t="str">
        <f t="shared" si="1"/>
        <v>QX0026 root.dat</v>
      </c>
      <c r="AE52" s="6">
        <f>100-AG52</f>
        <v>100</v>
      </c>
      <c r="AF52" s="6" t="str">
        <f t="shared" si="2"/>
        <v>QX0026 root.dat</v>
      </c>
      <c r="AG52" s="6" cm="1">
        <f t="array" ref="AG52">IF(AD52=AF52,0,
  _xlfn.SWITCH(TRUE,
    $C52&lt;$H$7,  ($C52-$H$6)/($H$7-$H$6),
    $C52&lt;$H$8,  ($C52-$H$7)/($H$8-$H$7),
    $C52&lt;$H$9,  ($C52-$H$8)/($H$9-$H$8),
    $C52&lt;$H$10, ($C52-$H$9)/($H$10-$H$9),
    $C52&lt;$H$11, ($C52-$H$10)/($H$11-$H$10),
    $C52&lt;$H$12, ($C52-$H$11)/($H$12-$H$11),
    ($C52-$H$12)/($H$13-$H$12)
  )*100
)</f>
        <v>0</v>
      </c>
      <c r="AH52" s="6">
        <f t="shared" si="3"/>
        <v>0.41799999999999998</v>
      </c>
      <c r="AI52" s="6">
        <f t="shared" si="4"/>
        <v>-0.68200000000000016</v>
      </c>
      <c r="AJ52" s="6">
        <f t="shared" ref="AJ52:AJ82" si="14">AJ51+E51*COS(RADIANS(AM51))</f>
        <v>0.15</v>
      </c>
      <c r="AK52" s="6">
        <f t="shared" ref="AK52:AK82" si="15">AK51+E51*SIN(RADIANS(AM51))</f>
        <v>0</v>
      </c>
      <c r="AL52" s="6">
        <f t="shared" si="5"/>
        <v>3.7199999999999998</v>
      </c>
      <c r="AM52" s="30">
        <f t="shared" si="6"/>
        <v>0</v>
      </c>
      <c r="AN52" s="198">
        <v>3.7166876322104234</v>
      </c>
      <c r="AO52" s="196">
        <v>0.21622106937821567</v>
      </c>
      <c r="AP52" s="196">
        <v>0.14999987910230048</v>
      </c>
      <c r="AQ52" s="196">
        <v>1.9044499269218012E-4</v>
      </c>
      <c r="AR52" s="196">
        <v>0</v>
      </c>
      <c r="AS52" s="196">
        <v>-2.2205991224448184E-3</v>
      </c>
      <c r="AT52" s="196">
        <f t="shared" si="7"/>
        <v>0</v>
      </c>
      <c r="AU52" s="196">
        <f t="shared" si="8"/>
        <v>0</v>
      </c>
      <c r="AV52" s="196">
        <f t="shared" si="9"/>
        <v>0</v>
      </c>
      <c r="AW52" s="196">
        <f>AU52*0.75/2</f>
        <v>0</v>
      </c>
      <c r="AX52" s="198">
        <f>AU52*0.4/2</f>
        <v>0</v>
      </c>
      <c r="AY52" s="164"/>
      <c r="AZ52" s="23"/>
      <c r="BA52" s="23"/>
      <c r="BB52" s="23"/>
      <c r="BC52" s="23"/>
      <c r="BD52" s="23"/>
      <c r="BE52" s="23"/>
      <c r="BF52" s="23"/>
      <c r="BG52" s="23"/>
      <c r="BH52" s="23"/>
      <c r="BI52" s="23"/>
      <c r="BJ52" s="23"/>
      <c r="BK52" s="23"/>
      <c r="BL52" s="23"/>
      <c r="BM52" s="23"/>
      <c r="BN52" s="23"/>
    </row>
    <row r="53" spans="1:66">
      <c r="A53" s="23">
        <f t="shared" si="10"/>
        <v>0.12373454545454546</v>
      </c>
      <c r="B53" s="100">
        <v>2</v>
      </c>
      <c r="C53" s="6">
        <f t="shared" ref="C53:C83" si="16">C52+E52</f>
        <v>0.3</v>
      </c>
      <c r="D53" s="6">
        <f t="shared" si="11"/>
        <v>1100</v>
      </c>
      <c r="E53" s="93">
        <v>0.15</v>
      </c>
      <c r="F53" s="87" t="str">
        <f t="shared" si="12"/>
        <v>flat</v>
      </c>
      <c r="G53" s="87" t="str" cm="1">
        <f t="array" ref="G53">_xlfn.SWITCH(TRUE,
  OR(C53=$F$46, C53=$G$46, C53=$H$46, C53=$I$46), "端リブ",
  C53&lt;$F$46, "0番",
  C53&lt;$G$46, "1番",
  C53&lt;$H$46, "2番",
  C53&lt;$I$46, "3番",
  C53&lt;$J$46, "4番",
  "ウィングレット"
)</f>
        <v>0番</v>
      </c>
      <c r="H53" s="229" t="s">
        <v>756</v>
      </c>
      <c r="I53" s="6">
        <f>'主翼(桁)'!F47*2</f>
        <v>121.108</v>
      </c>
      <c r="J53" s="6">
        <f>'主翼(桁)'!G47*2</f>
        <v>121.108</v>
      </c>
      <c r="K53" s="34">
        <f t="shared" si="0"/>
        <v>0.38</v>
      </c>
      <c r="L53" s="6">
        <f>'主翼(平面形結果)'!O210</f>
        <v>160.52660379928719</v>
      </c>
      <c r="M53" s="196">
        <f t="shared" si="13"/>
        <v>39.418603799287183</v>
      </c>
      <c r="N53" s="273">
        <v>4.8855788448853579</v>
      </c>
      <c r="O53" s="196">
        <v>561565.51795163588</v>
      </c>
      <c r="P53" s="196">
        <v>9.7535923446145087</v>
      </c>
      <c r="Q53" s="196">
        <v>0.12926996187084272</v>
      </c>
      <c r="R53" s="196">
        <v>-1.2174340802722021</v>
      </c>
      <c r="S53" s="196">
        <v>-0.14453892236460633</v>
      </c>
      <c r="T53" s="196">
        <v>1.1363453686404272</v>
      </c>
      <c r="U53" s="196">
        <v>8.5365375115196707E-3</v>
      </c>
      <c r="V53" s="196">
        <v>6.5039641042372916E-3</v>
      </c>
      <c r="W53" s="196">
        <v>-0.12894322138990244</v>
      </c>
      <c r="X53" s="196">
        <v>-1.5308684525859748E-2</v>
      </c>
      <c r="Y53" s="196">
        <v>0.1036574448877588</v>
      </c>
      <c r="Z53" s="196">
        <v>5.1350537053562913E-4</v>
      </c>
      <c r="AA53" s="196">
        <v>5.9374045511462326</v>
      </c>
      <c r="AB53" s="196">
        <v>5.5038462146006516E-2</v>
      </c>
      <c r="AC53" s="196">
        <v>0.33194066427157659</v>
      </c>
      <c r="AD53" s="181" t="str">
        <f t="shared" si="1"/>
        <v>QX0026 root.dat</v>
      </c>
      <c r="AE53" s="6">
        <f t="shared" ref="AE53:AE116" si="17">100-AG53</f>
        <v>100</v>
      </c>
      <c r="AF53" s="6" t="str">
        <f t="shared" si="2"/>
        <v>QX0026 root.dat</v>
      </c>
      <c r="AG53" s="6" cm="1">
        <f t="array" ref="AG53">IF(AD53=AF53,0,
  _xlfn.SWITCH(TRUE,
    $C53&lt;$H$7,  ($C53-$H$6)/($H$7-$H$6),
    $C53&lt;$H$8,  ($C53-$H$7)/($H$8-$H$7),
    $C53&lt;$H$9,  ($C53-$H$8)/($H$9-$H$8),
    $C53&lt;$H$10, ($C53-$H$9)/($H$10-$H$9),
    $C53&lt;$H$11, ($C53-$H$10)/($H$11-$H$10),
    $C53&lt;$H$12, ($C53-$H$11)/($H$12-$H$11),
    ($C53-$H$12)/($H$13-$H$12)
  )*100
)</f>
        <v>0</v>
      </c>
      <c r="AH53" s="6">
        <f t="shared" si="3"/>
        <v>0.41799999999999998</v>
      </c>
      <c r="AI53" s="6">
        <f t="shared" si="4"/>
        <v>-0.68200000000000016</v>
      </c>
      <c r="AJ53" s="6">
        <f t="shared" si="14"/>
        <v>0.3</v>
      </c>
      <c r="AK53" s="6">
        <f t="shared" si="15"/>
        <v>0</v>
      </c>
      <c r="AL53" s="6">
        <f t="shared" si="5"/>
        <v>3.7199999999999998</v>
      </c>
      <c r="AM53" s="30">
        <f t="shared" si="6"/>
        <v>0</v>
      </c>
      <c r="AN53" s="198">
        <v>3.7145211869970889</v>
      </c>
      <c r="AO53" s="196">
        <v>0.35569700573609569</v>
      </c>
      <c r="AP53" s="196">
        <v>0.29999881100330894</v>
      </c>
      <c r="AQ53" s="196">
        <v>7.5650908502999329E-4</v>
      </c>
      <c r="AR53" s="196">
        <v>3.8085483041333859E-4</v>
      </c>
      <c r="AS53" s="196">
        <v>-4.405644913790795E-3</v>
      </c>
      <c r="AT53" s="196">
        <f t="shared" si="7"/>
        <v>0</v>
      </c>
      <c r="AU53" s="196">
        <f t="shared" si="8"/>
        <v>0</v>
      </c>
      <c r="AV53" s="196">
        <f t="shared" si="9"/>
        <v>0</v>
      </c>
      <c r="AW53" s="196">
        <f t="shared" ref="AW53:AW115" si="18">AU53*0.75/2</f>
        <v>0</v>
      </c>
      <c r="AX53" s="198">
        <f t="shared" ref="AX53:AX115" si="19">AU53*0.4/2</f>
        <v>0</v>
      </c>
      <c r="AY53" s="164"/>
      <c r="AZ53" s="23"/>
      <c r="BA53" s="23"/>
      <c r="BB53" s="23"/>
      <c r="BC53" s="23"/>
      <c r="BD53" s="23"/>
      <c r="BE53" s="23"/>
      <c r="BF53" s="23"/>
      <c r="BG53" s="23"/>
      <c r="BH53" s="23"/>
      <c r="BI53" s="23"/>
      <c r="BJ53" s="23"/>
      <c r="BK53" s="23"/>
      <c r="BL53" s="23"/>
      <c r="BM53" s="23"/>
      <c r="BN53" s="23"/>
    </row>
    <row r="54" spans="1:66">
      <c r="A54" s="23">
        <f t="shared" si="10"/>
        <v>0.12373454545454546</v>
      </c>
      <c r="B54" s="158">
        <v>3</v>
      </c>
      <c r="C54" s="6">
        <f t="shared" si="16"/>
        <v>0.44999999999999996</v>
      </c>
      <c r="D54" s="6">
        <f t="shared" si="11"/>
        <v>1100</v>
      </c>
      <c r="E54" s="93">
        <v>0.15</v>
      </c>
      <c r="F54" s="87" t="str">
        <f t="shared" si="12"/>
        <v>flat</v>
      </c>
      <c r="G54" s="87" t="str" cm="1">
        <f t="array" ref="G54">_xlfn.SWITCH(TRUE,
  OR(C54=$F$46, C54=$G$46, C54=$H$46, C54=$I$46), "端リブ",
  C54&lt;$F$46, "0番",
  C54&lt;$G$46, "1番",
  C54&lt;$H$46, "2番",
  C54&lt;$I$46, "3番",
  C54&lt;$J$46, "4番",
  "ウィングレット"
)</f>
        <v>0番</v>
      </c>
      <c r="H54" s="229" t="s">
        <v>756</v>
      </c>
      <c r="I54" s="6">
        <f>'主翼(桁)'!F48*2</f>
        <v>121.108</v>
      </c>
      <c r="J54" s="6">
        <f>'主翼(桁)'!G48*2</f>
        <v>121.108</v>
      </c>
      <c r="K54" s="6">
        <f t="shared" si="0"/>
        <v>0.38</v>
      </c>
      <c r="L54" s="6">
        <f>'主翼(平面形結果)'!O211</f>
        <v>160.52660379928719</v>
      </c>
      <c r="M54" s="196">
        <f t="shared" si="13"/>
        <v>39.418603799287183</v>
      </c>
      <c r="N54" s="273">
        <v>4.8807172364092564</v>
      </c>
      <c r="O54" s="196">
        <v>561565.51795163588</v>
      </c>
      <c r="P54" s="196">
        <v>9.7490955066366372</v>
      </c>
      <c r="Q54" s="196">
        <v>0.12968729263071183</v>
      </c>
      <c r="R54" s="196">
        <v>-1.2174796973719022</v>
      </c>
      <c r="S54" s="196">
        <v>-0.14507919164187233</v>
      </c>
      <c r="T54" s="196">
        <v>1.1358413200176505</v>
      </c>
      <c r="U54" s="196">
        <v>8.5340446551161464E-3</v>
      </c>
      <c r="V54" s="196">
        <v>6.5618513916873983E-3</v>
      </c>
      <c r="W54" s="196">
        <v>-0.1289503072004069</v>
      </c>
      <c r="X54" s="196">
        <v>-1.5366175198641877E-2</v>
      </c>
      <c r="Y54" s="196">
        <v>0.10370132917999296</v>
      </c>
      <c r="Z54" s="196">
        <v>5.1202263889474006E-4</v>
      </c>
      <c r="AA54" s="196">
        <v>5.9347708970922239</v>
      </c>
      <c r="AB54" s="196">
        <v>5.5820587024991472E-2</v>
      </c>
      <c r="AC54" s="196">
        <v>0.3366576041735459</v>
      </c>
      <c r="AD54" s="181" t="str">
        <f t="shared" si="1"/>
        <v>QX0026 root.dat</v>
      </c>
      <c r="AE54" s="6">
        <f t="shared" si="17"/>
        <v>100</v>
      </c>
      <c r="AF54" s="6" t="str">
        <f t="shared" si="2"/>
        <v>QX0026 root.dat</v>
      </c>
      <c r="AG54" s="6" cm="1">
        <f t="array" ref="AG54">IF(AD54=AF54,0,
  _xlfn.SWITCH(TRUE,
    $C54&lt;$H$7,  ($C54-$H$6)/($H$7-$H$6),
    $C54&lt;$H$8,  ($C54-$H$7)/($H$8-$H$7),
    $C54&lt;$H$9,  ($C54-$H$8)/($H$9-$H$8),
    $C54&lt;$H$10, ($C54-$H$9)/($H$10-$H$9),
    $C54&lt;$H$11, ($C54-$H$10)/($H$11-$H$10),
    $C54&lt;$H$12, ($C54-$H$11)/($H$12-$H$11),
    ($C54-$H$12)/($H$13-$H$12)
  )*100
)</f>
        <v>0</v>
      </c>
      <c r="AH54" s="6">
        <f t="shared" si="3"/>
        <v>0.41799999999999998</v>
      </c>
      <c r="AI54" s="6">
        <f t="shared" si="4"/>
        <v>-0.68200000000000016</v>
      </c>
      <c r="AJ54" s="6">
        <f t="shared" si="14"/>
        <v>0.44999999999999996</v>
      </c>
      <c r="AK54" s="6">
        <f t="shared" si="15"/>
        <v>0</v>
      </c>
      <c r="AL54" s="6">
        <f t="shared" si="5"/>
        <v>3.7199999999999998</v>
      </c>
      <c r="AM54" s="30">
        <f t="shared" si="6"/>
        <v>0</v>
      </c>
      <c r="AN54" s="198">
        <v>3.7123913121094794</v>
      </c>
      <c r="AO54" s="196">
        <v>0.49122299788701257</v>
      </c>
      <c r="AP54" s="196">
        <v>0.44999592048967385</v>
      </c>
      <c r="AQ54" s="196">
        <v>1.6877156869422693E-3</v>
      </c>
      <c r="AR54" s="196">
        <v>1.1320261528806473E-3</v>
      </c>
      <c r="AS54" s="196">
        <v>-6.554443074198741E-3</v>
      </c>
      <c r="AT54" s="196">
        <f t="shared" si="7"/>
        <v>0</v>
      </c>
      <c r="AU54" s="196">
        <f t="shared" si="8"/>
        <v>0</v>
      </c>
      <c r="AV54" s="196">
        <f t="shared" si="9"/>
        <v>0</v>
      </c>
      <c r="AW54" s="196">
        <f t="shared" si="18"/>
        <v>0</v>
      </c>
      <c r="AX54" s="198">
        <f t="shared" si="19"/>
        <v>0</v>
      </c>
      <c r="AY54" s="164"/>
      <c r="AZ54" s="23"/>
      <c r="BA54" s="23"/>
      <c r="BB54" s="23"/>
      <c r="BC54" s="23"/>
      <c r="BD54" s="23"/>
      <c r="BE54" s="23"/>
      <c r="BF54" s="23"/>
      <c r="BG54" s="23"/>
      <c r="BH54" s="23"/>
      <c r="BI54" s="23"/>
      <c r="BJ54" s="23"/>
      <c r="BK54" s="23"/>
      <c r="BL54" s="23"/>
      <c r="BM54" s="23"/>
      <c r="BN54" s="23"/>
    </row>
    <row r="55" spans="1:66">
      <c r="A55" s="23">
        <f t="shared" si="10"/>
        <v>0.12373454545454546</v>
      </c>
      <c r="B55" s="100">
        <v>4</v>
      </c>
      <c r="C55" s="6">
        <f t="shared" si="16"/>
        <v>0.6</v>
      </c>
      <c r="D55" s="6">
        <f t="shared" si="11"/>
        <v>1100</v>
      </c>
      <c r="E55" s="93">
        <v>0.15</v>
      </c>
      <c r="F55" s="87" t="str">
        <f t="shared" si="12"/>
        <v>flat</v>
      </c>
      <c r="G55" s="87" t="str" cm="1">
        <f t="array" ref="G55">_xlfn.SWITCH(TRUE,
  OR(C55=$F$46, C55=$G$46, C55=$H$46, C55=$I$46), "端リブ",
  C55&lt;$F$46, "0番",
  C55&lt;$G$46, "1番",
  C55&lt;$H$46, "2番",
  C55&lt;$I$46, "3番",
  C55&lt;$J$46, "4番",
  "ウィングレット"
)</f>
        <v>0番</v>
      </c>
      <c r="H55" s="229" t="s">
        <v>756</v>
      </c>
      <c r="I55" s="6">
        <f>'主翼(桁)'!F49*2</f>
        <v>121.108</v>
      </c>
      <c r="J55" s="6">
        <f>'主翼(桁)'!G49*2</f>
        <v>121.108</v>
      </c>
      <c r="K55" s="6">
        <f t="shared" si="0"/>
        <v>0.38</v>
      </c>
      <c r="L55" s="6">
        <f>'主翼(平面形結果)'!O212</f>
        <v>160.52660379928719</v>
      </c>
      <c r="M55" s="196">
        <f t="shared" si="13"/>
        <v>39.418603799287183</v>
      </c>
      <c r="N55" s="273">
        <v>4.8739912501105973</v>
      </c>
      <c r="O55" s="196">
        <v>561565.51795163588</v>
      </c>
      <c r="P55" s="196">
        <v>9.7428894501187564</v>
      </c>
      <c r="Q55" s="196">
        <v>0.13040944781241226</v>
      </c>
      <c r="R55" s="196">
        <v>-1.2175445092835921</v>
      </c>
      <c r="S55" s="196">
        <v>-0.14582666977052899</v>
      </c>
      <c r="T55" s="196">
        <v>1.1351436225165978</v>
      </c>
      <c r="U55" s="196">
        <v>8.5306076807713516E-3</v>
      </c>
      <c r="V55" s="196">
        <v>6.644071628779535E-3</v>
      </c>
      <c r="W55" s="196">
        <v>-0.12896005215993456</v>
      </c>
      <c r="X55" s="196">
        <v>-1.5445689908274801E-2</v>
      </c>
      <c r="Y55" s="196">
        <v>0.10376189621847166</v>
      </c>
      <c r="Z55" s="196">
        <v>5.0997709908815001E-4</v>
      </c>
      <c r="AA55" s="196">
        <v>5.9311254276492242</v>
      </c>
      <c r="AB55" s="196">
        <v>5.6308901045125849E-2</v>
      </c>
      <c r="AC55" s="196">
        <v>0.33960258922831854</v>
      </c>
      <c r="AD55" s="181" t="str">
        <f t="shared" si="1"/>
        <v>QX0026 root.dat</v>
      </c>
      <c r="AE55" s="6">
        <f t="shared" si="17"/>
        <v>100</v>
      </c>
      <c r="AF55" s="6" t="str">
        <f t="shared" si="2"/>
        <v>QX0026 root.dat</v>
      </c>
      <c r="AG55" s="6" cm="1">
        <f t="array" ref="AG55">IF(AD55=AF55,0,
  _xlfn.SWITCH(TRUE,
    $C55&lt;$H$7,  ($C55-$H$6)/($H$7-$H$6),
    $C55&lt;$H$8,  ($C55-$H$7)/($H$8-$H$7),
    $C55&lt;$H$9,  ($C55-$H$8)/($H$9-$H$8),
    $C55&lt;$H$10, ($C55-$H$9)/($H$10-$H$9),
    $C55&lt;$H$11, ($C55-$H$10)/($H$11-$H$10),
    $C55&lt;$H$12, ($C55-$H$11)/($H$12-$H$11),
    ($C55-$H$12)/($H$13-$H$12)
  )*100
)</f>
        <v>0</v>
      </c>
      <c r="AH55" s="6">
        <f t="shared" si="3"/>
        <v>0.41799999999999998</v>
      </c>
      <c r="AI55" s="6">
        <f t="shared" si="4"/>
        <v>-0.68200000000000016</v>
      </c>
      <c r="AJ55" s="6">
        <f t="shared" si="14"/>
        <v>0.6</v>
      </c>
      <c r="AK55" s="6">
        <f t="shared" si="15"/>
        <v>0</v>
      </c>
      <c r="AL55" s="6">
        <f t="shared" si="5"/>
        <v>3.7199999999999998</v>
      </c>
      <c r="AM55" s="30">
        <f t="shared" si="6"/>
        <v>0</v>
      </c>
      <c r="AN55" s="198">
        <v>3.7102987026004066</v>
      </c>
      <c r="AO55" s="196">
        <v>0.62284959454821753</v>
      </c>
      <c r="AP55" s="196">
        <v>0.59999040770891821</v>
      </c>
      <c r="AQ55" s="196">
        <v>2.9737187335678325E-3</v>
      </c>
      <c r="AR55" s="196">
        <v>2.243107902200937E-3</v>
      </c>
      <c r="AS55" s="196">
        <v>-8.6663057672082613E-3</v>
      </c>
      <c r="AT55" s="196">
        <f t="shared" si="7"/>
        <v>0</v>
      </c>
      <c r="AU55" s="196">
        <f t="shared" si="8"/>
        <v>0</v>
      </c>
      <c r="AV55" s="196">
        <f t="shared" si="9"/>
        <v>0</v>
      </c>
      <c r="AW55" s="196">
        <f t="shared" si="18"/>
        <v>0</v>
      </c>
      <c r="AX55" s="198">
        <f t="shared" si="19"/>
        <v>0</v>
      </c>
      <c r="AY55" s="164"/>
      <c r="AZ55" s="23"/>
      <c r="BA55" s="23"/>
      <c r="BB55" s="23"/>
      <c r="BC55" s="23"/>
      <c r="BD55" s="23"/>
      <c r="BE55" s="23"/>
      <c r="BF55" s="23"/>
      <c r="BG55" s="23"/>
      <c r="BH55" s="23"/>
      <c r="BI55" s="23"/>
      <c r="BJ55" s="23"/>
      <c r="BK55" s="23"/>
      <c r="BL55" s="23"/>
      <c r="BM55" s="23"/>
      <c r="BN55" s="23"/>
    </row>
    <row r="56" spans="1:66">
      <c r="A56" s="23">
        <f t="shared" si="10"/>
        <v>0.12373454545454546</v>
      </c>
      <c r="B56" s="158">
        <v>5</v>
      </c>
      <c r="C56" s="6">
        <f t="shared" si="16"/>
        <v>0.75</v>
      </c>
      <c r="D56" s="6">
        <f t="shared" si="11"/>
        <v>1100</v>
      </c>
      <c r="E56" s="93">
        <v>0.15</v>
      </c>
      <c r="F56" s="87" t="str">
        <f t="shared" si="12"/>
        <v>flat</v>
      </c>
      <c r="G56" s="87" t="str" cm="1">
        <f t="array" ref="G56">_xlfn.SWITCH(TRUE,
  OR(C56=$F$46, C56=$G$46, C56=$H$46, C56=$I$46), "端リブ",
  C56&lt;$F$46, "0番",
  C56&lt;$G$46, "1番",
  C56&lt;$H$46, "2番",
  C56&lt;$I$46, "3番",
  C56&lt;$J$46, "4番",
  "ウィングレット"
)</f>
        <v>0番</v>
      </c>
      <c r="H56" s="229" t="s">
        <v>756</v>
      </c>
      <c r="I56" s="6">
        <f>'主翼(桁)'!F50*2</f>
        <v>121.108</v>
      </c>
      <c r="J56" s="6">
        <f>'主翼(桁)'!G50*2</f>
        <v>121.108</v>
      </c>
      <c r="K56" s="6">
        <f t="shared" si="0"/>
        <v>0.38</v>
      </c>
      <c r="L56" s="6">
        <f>'主翼(平面形結果)'!O213</f>
        <v>160.52660379928719</v>
      </c>
      <c r="M56" s="196">
        <f t="shared" si="13"/>
        <v>39.418603799287183</v>
      </c>
      <c r="N56" s="273">
        <v>4.8658763422863487</v>
      </c>
      <c r="O56" s="196">
        <v>561565.51795163588</v>
      </c>
      <c r="P56" s="196">
        <v>9.7353996604518969</v>
      </c>
      <c r="Q56" s="196">
        <v>0.13135947188021119</v>
      </c>
      <c r="R56" s="196">
        <v>-1.2176221162974772</v>
      </c>
      <c r="S56" s="196">
        <v>-0.14672815364776878</v>
      </c>
      <c r="T56" s="196">
        <v>1.1343013085490405</v>
      </c>
      <c r="U56" s="196">
        <v>8.5264792475045481E-3</v>
      </c>
      <c r="V56" s="196">
        <v>6.7611403279299693E-3</v>
      </c>
      <c r="W56" s="196">
        <v>-0.12897171970389165</v>
      </c>
      <c r="X56" s="196">
        <v>-1.5541588848987625E-2</v>
      </c>
      <c r="Y56" s="196">
        <v>0.1038347440285067</v>
      </c>
      <c r="Z56" s="196">
        <v>5.0751809915376873E-4</v>
      </c>
      <c r="AA56" s="196">
        <v>5.9267243371687375</v>
      </c>
      <c r="AB56" s="196">
        <v>5.7337080466944391E-2</v>
      </c>
      <c r="AC56" s="196">
        <v>0.34580345594930473</v>
      </c>
      <c r="AD56" s="181" t="str">
        <f t="shared" si="1"/>
        <v>QX0026 root.dat</v>
      </c>
      <c r="AE56" s="6">
        <f t="shared" si="17"/>
        <v>100</v>
      </c>
      <c r="AF56" s="6" t="str">
        <f t="shared" si="2"/>
        <v>QX0026 root.dat</v>
      </c>
      <c r="AG56" s="6" cm="1">
        <f t="array" ref="AG56">IF(AD56=AF56,0,
  _xlfn.SWITCH(TRUE,
    $C56&lt;$H$7,  ($C56-$H$6)/($H$7-$H$6),
    $C56&lt;$H$8,  ($C56-$H$7)/($H$8-$H$7),
    $C56&lt;$H$9,  ($C56-$H$8)/($H$9-$H$8),
    $C56&lt;$H$10, ($C56-$H$9)/($H$10-$H$9),
    $C56&lt;$H$11, ($C56-$H$10)/($H$11-$H$10),
    $C56&lt;$H$12, ($C56-$H$11)/($H$12-$H$11),
    ($C56-$H$12)/($H$13-$H$12)
  )*100
)</f>
        <v>0</v>
      </c>
      <c r="AH56" s="6">
        <f t="shared" si="3"/>
        <v>0.41799999999999998</v>
      </c>
      <c r="AI56" s="6">
        <f t="shared" si="4"/>
        <v>-0.68200000000000016</v>
      </c>
      <c r="AJ56" s="6">
        <f t="shared" si="14"/>
        <v>0.75</v>
      </c>
      <c r="AK56" s="6">
        <f t="shared" si="15"/>
        <v>0</v>
      </c>
      <c r="AL56" s="6">
        <f t="shared" si="5"/>
        <v>3.7199999999999998</v>
      </c>
      <c r="AM56" s="30">
        <f t="shared" si="6"/>
        <v>0</v>
      </c>
      <c r="AN56" s="198">
        <v>3.7082440565591619</v>
      </c>
      <c r="AO56" s="196">
        <v>0.75062733658596992</v>
      </c>
      <c r="AP56" s="196">
        <v>0.74998154476310974</v>
      </c>
      <c r="AQ56" s="196">
        <v>4.6043030431780129E-3</v>
      </c>
      <c r="AR56" s="196">
        <v>3.7038263296640828E-3</v>
      </c>
      <c r="AS56" s="196">
        <v>-1.0740533155207212E-2</v>
      </c>
      <c r="AT56" s="196">
        <f t="shared" si="7"/>
        <v>0</v>
      </c>
      <c r="AU56" s="196">
        <f t="shared" si="8"/>
        <v>0</v>
      </c>
      <c r="AV56" s="196">
        <f t="shared" si="9"/>
        <v>0</v>
      </c>
      <c r="AW56" s="196">
        <f t="shared" si="18"/>
        <v>0</v>
      </c>
      <c r="AX56" s="198">
        <f t="shared" si="19"/>
        <v>0</v>
      </c>
      <c r="AY56" s="164"/>
      <c r="AZ56" s="23"/>
      <c r="BA56" s="23"/>
      <c r="BB56" s="23"/>
      <c r="BC56" s="23"/>
      <c r="BD56" s="23"/>
      <c r="BE56" s="23"/>
      <c r="BF56" s="23"/>
      <c r="BG56" s="23"/>
      <c r="BH56" s="23"/>
      <c r="BI56" s="23"/>
      <c r="BJ56" s="23"/>
      <c r="BK56" s="23"/>
      <c r="BL56" s="23"/>
      <c r="BM56" s="23"/>
      <c r="BN56" s="23"/>
    </row>
    <row r="57" spans="1:66">
      <c r="A57" s="23">
        <f t="shared" si="10"/>
        <v>0.12373454545454546</v>
      </c>
      <c r="B57" s="100">
        <v>6</v>
      </c>
      <c r="C57" s="6">
        <f t="shared" si="16"/>
        <v>0.9</v>
      </c>
      <c r="D57" s="6">
        <f t="shared" si="11"/>
        <v>1100</v>
      </c>
      <c r="E57" s="93">
        <v>0.15</v>
      </c>
      <c r="F57" s="87" t="str">
        <f t="shared" si="12"/>
        <v>flat</v>
      </c>
      <c r="G57" s="87" t="str" cm="1">
        <f t="array" ref="G57">_xlfn.SWITCH(TRUE,
  OR(C57=$F$46, C57=$G$46, C57=$H$46, C57=$I$46), "端リブ",
  C57&lt;$F$46, "0番",
  C57&lt;$G$46, "1番",
  C57&lt;$H$46, "2番",
  C57&lt;$I$46, "3番",
  C57&lt;$J$46, "4番",
  "ウィングレット"
)</f>
        <v>0番</v>
      </c>
      <c r="H57" s="229" t="s">
        <v>756</v>
      </c>
      <c r="I57" s="6">
        <f>'主翼(桁)'!F51*2</f>
        <v>121.108</v>
      </c>
      <c r="J57" s="6">
        <f>'主翼(桁)'!G51*2</f>
        <v>121.108</v>
      </c>
      <c r="K57" s="6">
        <f t="shared" si="0"/>
        <v>0.38</v>
      </c>
      <c r="L57" s="6">
        <f>'主翼(平面形結果)'!O214</f>
        <v>160.52660379928719</v>
      </c>
      <c r="M57" s="196">
        <f t="shared" si="13"/>
        <v>39.418603799287183</v>
      </c>
      <c r="N57" s="273">
        <v>4.8563446377487267</v>
      </c>
      <c r="O57" s="196">
        <v>561565.51795163588</v>
      </c>
      <c r="P57" s="196">
        <v>9.7266031258425869</v>
      </c>
      <c r="Q57" s="196">
        <v>0.13254111672754887</v>
      </c>
      <c r="R57" s="196">
        <v>-1.217712946363569</v>
      </c>
      <c r="S57" s="196">
        <v>-0.14778660252088466</v>
      </c>
      <c r="T57" s="196">
        <v>1.1333111798872004</v>
      </c>
      <c r="U57" s="196">
        <v>8.5216554515681331E-3</v>
      </c>
      <c r="V57" s="196">
        <v>6.9123843796765807E-3</v>
      </c>
      <c r="W57" s="196">
        <v>-0.12898529921702062</v>
      </c>
      <c r="X57" s="196">
        <v>-1.5654181228300604E-2</v>
      </c>
      <c r="Y57" s="196">
        <v>0.10391999415967688</v>
      </c>
      <c r="Z57" s="196">
        <v>5.0464223041081502E-4</v>
      </c>
      <c r="AA57" s="196">
        <v>5.9215509149106227</v>
      </c>
      <c r="AB57" s="196">
        <v>5.9143859964008762E-2</v>
      </c>
      <c r="AC57" s="196">
        <v>0.35669997687601374</v>
      </c>
      <c r="AD57" s="181" t="str">
        <f t="shared" si="1"/>
        <v>QX0026 root.dat</v>
      </c>
      <c r="AE57" s="6">
        <f t="shared" si="17"/>
        <v>100</v>
      </c>
      <c r="AF57" s="6" t="str">
        <f t="shared" si="2"/>
        <v>QX0026 root.dat</v>
      </c>
      <c r="AG57" s="6" cm="1">
        <f t="array" ref="AG57">IF(AD57=AF57,0,
  _xlfn.SWITCH(TRUE,
    $C57&lt;$H$7,  ($C57-$H$6)/($H$7-$H$6),
    $C57&lt;$H$8,  ($C57-$H$7)/($H$8-$H$7),
    $C57&lt;$H$9,  ($C57-$H$8)/($H$9-$H$8),
    $C57&lt;$H$10, ($C57-$H$9)/($H$10-$H$9),
    $C57&lt;$H$11, ($C57-$H$10)/($H$11-$H$10),
    $C57&lt;$H$12, ($C57-$H$11)/($H$12-$H$11),
    ($C57-$H$12)/($H$13-$H$12)
  )*100
)</f>
        <v>0</v>
      </c>
      <c r="AH57" s="6">
        <f t="shared" si="3"/>
        <v>0.41799999999999998</v>
      </c>
      <c r="AI57" s="6">
        <f t="shared" si="4"/>
        <v>-0.68200000000000016</v>
      </c>
      <c r="AJ57" s="6">
        <f t="shared" si="14"/>
        <v>0.9</v>
      </c>
      <c r="AK57" s="6">
        <f t="shared" si="15"/>
        <v>0</v>
      </c>
      <c r="AL57" s="6">
        <f t="shared" si="5"/>
        <v>3.7199999999999998</v>
      </c>
      <c r="AM57" s="30">
        <f t="shared" si="6"/>
        <v>0</v>
      </c>
      <c r="AN57" s="198">
        <v>3.7062280835586017</v>
      </c>
      <c r="AO57" s="196">
        <v>0.87460674004457251</v>
      </c>
      <c r="AP57" s="196">
        <v>0.89996867239234846</v>
      </c>
      <c r="AQ57" s="196">
        <v>6.5693846013982126E-3</v>
      </c>
      <c r="AR57" s="196">
        <v>5.5040400036658289E-3</v>
      </c>
      <c r="AS57" s="196">
        <v>-1.2776424716494357E-2</v>
      </c>
      <c r="AT57" s="196">
        <f t="shared" si="7"/>
        <v>0</v>
      </c>
      <c r="AU57" s="196">
        <f t="shared" si="8"/>
        <v>0</v>
      </c>
      <c r="AV57" s="196">
        <f t="shared" si="9"/>
        <v>0</v>
      </c>
      <c r="AW57" s="196">
        <f t="shared" si="18"/>
        <v>0</v>
      </c>
      <c r="AX57" s="198">
        <f t="shared" si="19"/>
        <v>0</v>
      </c>
      <c r="AY57" s="164"/>
      <c r="AZ57" s="23"/>
      <c r="BA57" s="23"/>
      <c r="BB57" s="23"/>
      <c r="BC57" s="23"/>
      <c r="BD57" s="23"/>
      <c r="BE57" s="23"/>
      <c r="BF57" s="23"/>
      <c r="BG57" s="23"/>
      <c r="BH57" s="23"/>
      <c r="BI57" s="23"/>
      <c r="BJ57" s="23"/>
      <c r="BK57" s="23"/>
      <c r="BL57" s="23"/>
      <c r="BM57" s="23"/>
      <c r="BN57" s="23"/>
    </row>
    <row r="58" spans="1:66">
      <c r="A58" s="23">
        <f t="shared" si="10"/>
        <v>0.12373454545454546</v>
      </c>
      <c r="B58" s="158">
        <v>7</v>
      </c>
      <c r="C58" s="6">
        <f t="shared" si="16"/>
        <v>1.05</v>
      </c>
      <c r="D58" s="6">
        <f t="shared" si="11"/>
        <v>1100</v>
      </c>
      <c r="E58" s="93">
        <v>0.15</v>
      </c>
      <c r="F58" s="87" t="str">
        <f t="shared" si="12"/>
        <v>flat</v>
      </c>
      <c r="G58" s="87" t="str" cm="1">
        <f t="array" ref="G58">_xlfn.SWITCH(TRUE,
  OR(C58=$F$46, C58=$G$46, C58=$H$46, C58=$I$46), "端リブ",
  C58&lt;$F$46, "0番",
  C58&lt;$G$46, "1番",
  C58&lt;$H$46, "2番",
  C58&lt;$I$46, "3番",
  C58&lt;$J$46, "4番",
  "ウィングレット"
)</f>
        <v>0番</v>
      </c>
      <c r="H58" s="229" t="s">
        <v>756</v>
      </c>
      <c r="I58" s="6">
        <f>'主翼(桁)'!F52*2</f>
        <v>121.108</v>
      </c>
      <c r="J58" s="6">
        <f>'主翼(桁)'!G52*2</f>
        <v>121.108</v>
      </c>
      <c r="K58" s="6">
        <f t="shared" si="0"/>
        <v>0.38</v>
      </c>
      <c r="L58" s="6">
        <f>'主翼(平面形結果)'!O215</f>
        <v>160.52660379928719</v>
      </c>
      <c r="M58" s="196">
        <f t="shared" si="13"/>
        <v>39.418603799287183</v>
      </c>
      <c r="N58" s="273">
        <v>4.8440101669642832</v>
      </c>
      <c r="O58" s="196">
        <v>561565.51795163588</v>
      </c>
      <c r="P58" s="196">
        <v>9.7152636987035059</v>
      </c>
      <c r="Q58" s="196">
        <v>0.13417481553070323</v>
      </c>
      <c r="R58" s="196">
        <v>-1.217835259796878</v>
      </c>
      <c r="S58" s="196">
        <v>-0.14915625293949245</v>
      </c>
      <c r="T58" s="196">
        <v>1.13202870394153</v>
      </c>
      <c r="U58" s="196">
        <v>8.5154538085089881E-3</v>
      </c>
      <c r="V58" s="196">
        <v>7.0818262255677418E-3</v>
      </c>
      <c r="W58" s="196">
        <v>-0.12900267170178747</v>
      </c>
      <c r="X58" s="196">
        <v>-1.5799801307634503E-2</v>
      </c>
      <c r="Y58" s="196">
        <v>0.10402980432228948</v>
      </c>
      <c r="Z58" s="196">
        <v>5.0094060777244789E-4</v>
      </c>
      <c r="AA58" s="196">
        <v>5.9148499780944945</v>
      </c>
      <c r="AB58" s="196">
        <v>5.918064773602015E-2</v>
      </c>
      <c r="AC58" s="196">
        <v>0.35692184027925239</v>
      </c>
      <c r="AD58" s="181" t="str">
        <f t="shared" si="1"/>
        <v>QX0026 root.dat</v>
      </c>
      <c r="AE58" s="6">
        <f t="shared" si="17"/>
        <v>100</v>
      </c>
      <c r="AF58" s="6" t="str">
        <f t="shared" si="2"/>
        <v>QX0026 root.dat</v>
      </c>
      <c r="AG58" s="6" cm="1">
        <f t="array" ref="AG58">IF(AD58=AF58,0,
  _xlfn.SWITCH(TRUE,
    $C58&lt;$H$7,  ($C58-$H$6)/($H$7-$H$6),
    $C58&lt;$H$8,  ($C58-$H$7)/($H$8-$H$7),
    $C58&lt;$H$9,  ($C58-$H$8)/($H$9-$H$8),
    $C58&lt;$H$10, ($C58-$H$9)/($H$10-$H$9),
    $C58&lt;$H$11, ($C58-$H$10)/($H$11-$H$10),
    $C58&lt;$H$12, ($C58-$H$11)/($H$12-$H$11),
    ($C58-$H$12)/($H$13-$H$12)
  )*100
)</f>
        <v>0</v>
      </c>
      <c r="AH58" s="6">
        <f t="shared" si="3"/>
        <v>0.41799999999999998</v>
      </c>
      <c r="AI58" s="6">
        <f t="shared" si="4"/>
        <v>-0.68200000000000016</v>
      </c>
      <c r="AJ58" s="6">
        <f t="shared" si="14"/>
        <v>1.05</v>
      </c>
      <c r="AK58" s="6">
        <f t="shared" si="15"/>
        <v>0</v>
      </c>
      <c r="AL58" s="6">
        <f t="shared" si="5"/>
        <v>3.7199999999999998</v>
      </c>
      <c r="AM58" s="30">
        <f t="shared" si="6"/>
        <v>0</v>
      </c>
      <c r="AN58" s="198">
        <v>3.7042514946910789</v>
      </c>
      <c r="AO58" s="196">
        <v>0.99483705787473808</v>
      </c>
      <c r="AP58" s="196">
        <v>1.0499511967476958</v>
      </c>
      <c r="AQ58" s="196">
        <v>8.8590107712448133E-3</v>
      </c>
      <c r="AR58" s="196">
        <v>7.6337397659881822E-3</v>
      </c>
      <c r="AS58" s="196">
        <v>-1.4773277040353826E-2</v>
      </c>
      <c r="AT58" s="196">
        <f t="shared" si="7"/>
        <v>0</v>
      </c>
      <c r="AU58" s="196">
        <f t="shared" si="8"/>
        <v>0</v>
      </c>
      <c r="AV58" s="196">
        <f t="shared" si="9"/>
        <v>0</v>
      </c>
      <c r="AW58" s="196">
        <f t="shared" si="18"/>
        <v>0</v>
      </c>
      <c r="AX58" s="198">
        <f t="shared" si="19"/>
        <v>0</v>
      </c>
      <c r="AY58" s="164"/>
      <c r="AZ58" s="23"/>
      <c r="BA58" s="23"/>
      <c r="BB58" s="23"/>
      <c r="BC58" s="23"/>
      <c r="BD58" s="23"/>
      <c r="BE58" s="23"/>
      <c r="BF58" s="23"/>
      <c r="BG58" s="23"/>
      <c r="BH58" s="23"/>
      <c r="BI58" s="23"/>
      <c r="BJ58" s="23"/>
      <c r="BK58" s="23"/>
      <c r="BL58" s="23"/>
      <c r="BM58" s="23"/>
      <c r="BN58" s="23"/>
    </row>
    <row r="59" spans="1:66">
      <c r="A59" s="23">
        <f t="shared" si="10"/>
        <v>0.12373454545454546</v>
      </c>
      <c r="B59" s="100">
        <v>8</v>
      </c>
      <c r="C59" s="6">
        <f t="shared" si="16"/>
        <v>1.2</v>
      </c>
      <c r="D59" s="6">
        <f t="shared" si="11"/>
        <v>1100</v>
      </c>
      <c r="E59" s="93">
        <v>0.15</v>
      </c>
      <c r="F59" s="87" t="str">
        <f t="shared" si="12"/>
        <v>flat</v>
      </c>
      <c r="G59" s="87" t="str" cm="1">
        <f t="array" ref="G59">_xlfn.SWITCH(TRUE,
  OR(C59=$F$46, C59=$G$46, C59=$H$46, C59=$I$46), "端リブ",
  C59&lt;$F$46, "0番",
  C59&lt;$G$46, "1番",
  C59&lt;$H$46, "2番",
  C59&lt;$I$46, "3番",
  C59&lt;$J$46, "4番",
  "ウィングレット"
)</f>
        <v>0番</v>
      </c>
      <c r="H59" s="229" t="s">
        <v>756</v>
      </c>
      <c r="I59" s="6">
        <f>'主翼(桁)'!F53*2</f>
        <v>121.108</v>
      </c>
      <c r="J59" s="6">
        <f>'主翼(桁)'!G53*2</f>
        <v>121.108</v>
      </c>
      <c r="K59" s="6">
        <f t="shared" si="0"/>
        <v>0.38</v>
      </c>
      <c r="L59" s="6">
        <f>'主翼(平面形結果)'!O216</f>
        <v>160.52660379928719</v>
      </c>
      <c r="M59" s="196">
        <f t="shared" si="13"/>
        <v>39.418603799287183</v>
      </c>
      <c r="N59" s="273">
        <v>4.8323006621188167</v>
      </c>
      <c r="O59" s="196">
        <v>561565.51795163588</v>
      </c>
      <c r="P59" s="196">
        <v>9.7045859419706026</v>
      </c>
      <c r="Q59" s="196">
        <v>0.13584432403930186</v>
      </c>
      <c r="R59" s="196">
        <v>-1.2179615931170682</v>
      </c>
      <c r="S59" s="196">
        <v>-0.15045713950030212</v>
      </c>
      <c r="T59" s="196">
        <v>1.1308099587071565</v>
      </c>
      <c r="U59" s="196">
        <v>8.5096085146458833E-3</v>
      </c>
      <c r="V59" s="196">
        <v>7.341279487724485E-3</v>
      </c>
      <c r="W59" s="196">
        <v>-0.12901895576672306</v>
      </c>
      <c r="X59" s="196">
        <v>-1.5937959896007436E-2</v>
      </c>
      <c r="Y59" s="196">
        <v>0.10413352051275239</v>
      </c>
      <c r="Z59" s="196">
        <v>4.9744720277284044E-4</v>
      </c>
      <c r="AA59" s="196">
        <v>5.9084820342448934</v>
      </c>
      <c r="AB59" s="196">
        <v>6.4283572236565764E-2</v>
      </c>
      <c r="AC59" s="196">
        <v>0.38769696499687001</v>
      </c>
      <c r="AD59" s="181" t="str">
        <f t="shared" si="1"/>
        <v>QX0026 root.dat</v>
      </c>
      <c r="AE59" s="6">
        <f t="shared" si="17"/>
        <v>100</v>
      </c>
      <c r="AF59" s="6" t="str">
        <f t="shared" si="2"/>
        <v>QX0026 root.dat</v>
      </c>
      <c r="AG59" s="6" cm="1">
        <f t="array" ref="AG59">IF(AD59=AF59,0,
  _xlfn.SWITCH(TRUE,
    $C59&lt;$H$7,  ($C59-$H$6)/($H$7-$H$6),
    $C59&lt;$H$8,  ($C59-$H$7)/($H$8-$H$7),
    $C59&lt;$H$9,  ($C59-$H$8)/($H$9-$H$8),
    $C59&lt;$H$10, ($C59-$H$9)/($H$10-$H$9),
    $C59&lt;$H$11, ($C59-$H$10)/($H$11-$H$10),
    $C59&lt;$H$12, ($C59-$H$11)/($H$12-$H$11),
    ($C59-$H$12)/($H$13-$H$12)
  )*100
)</f>
        <v>0</v>
      </c>
      <c r="AH59" s="6">
        <f t="shared" si="3"/>
        <v>0.41799999999999998</v>
      </c>
      <c r="AI59" s="6">
        <f t="shared" si="4"/>
        <v>-0.68200000000000016</v>
      </c>
      <c r="AJ59" s="6">
        <f t="shared" si="14"/>
        <v>1.2</v>
      </c>
      <c r="AK59" s="6">
        <f t="shared" si="15"/>
        <v>0</v>
      </c>
      <c r="AL59" s="6">
        <f t="shared" si="5"/>
        <v>3.7199999999999998</v>
      </c>
      <c r="AM59" s="30">
        <f t="shared" si="6"/>
        <v>0</v>
      </c>
      <c r="AN59" s="198">
        <v>3.7030906950451801</v>
      </c>
      <c r="AO59" s="196">
        <v>1.0664698209076522</v>
      </c>
      <c r="AP59" s="196">
        <v>1.199928586308596</v>
      </c>
      <c r="AQ59" s="196">
        <v>1.1463357233987087E-2</v>
      </c>
      <c r="AR59" s="196">
        <v>1.0083048649168661E-2</v>
      </c>
      <c r="AS59" s="196">
        <v>-1.6730345199601992E-2</v>
      </c>
      <c r="AT59" s="196">
        <f t="shared" si="7"/>
        <v>0</v>
      </c>
      <c r="AU59" s="196">
        <f t="shared" si="8"/>
        <v>0</v>
      </c>
      <c r="AV59" s="196">
        <f t="shared" si="9"/>
        <v>0</v>
      </c>
      <c r="AW59" s="196">
        <f t="shared" si="18"/>
        <v>0</v>
      </c>
      <c r="AX59" s="198">
        <f t="shared" si="19"/>
        <v>0</v>
      </c>
      <c r="AY59" s="164"/>
      <c r="AZ59" s="23"/>
      <c r="BA59" s="23"/>
      <c r="BB59" s="23"/>
      <c r="BC59" s="23"/>
      <c r="BD59" s="23"/>
      <c r="BE59" s="23"/>
      <c r="BF59" s="23"/>
      <c r="BG59" s="23"/>
      <c r="BH59" s="23"/>
      <c r="BI59" s="23"/>
      <c r="BJ59" s="23"/>
      <c r="BK59" s="23"/>
      <c r="BL59" s="23"/>
      <c r="BM59" s="23"/>
      <c r="BN59" s="23"/>
    </row>
    <row r="60" spans="1:66">
      <c r="A60" s="23">
        <f t="shared" si="10"/>
        <v>0.14073552727272728</v>
      </c>
      <c r="B60" s="158">
        <v>9</v>
      </c>
      <c r="C60" s="6">
        <f t="shared" si="16"/>
        <v>1.3499999999999999</v>
      </c>
      <c r="D60" s="6">
        <f t="shared" si="11"/>
        <v>1100</v>
      </c>
      <c r="E60" s="87">
        <v>0.17499999999999999</v>
      </c>
      <c r="F60" s="87" t="str">
        <f t="shared" si="12"/>
        <v>flat</v>
      </c>
      <c r="G60" s="87" t="str" cm="1">
        <f t="array" ref="G60">_xlfn.SWITCH(TRUE,
  OR(C60=$F$46, C60=$G$46, C60=$H$46, C60=$I$46), "端リブ",
  C60&lt;$F$46, "0番",
  C60&lt;$G$46, "1番",
  C60&lt;$H$46, "2番",
  C60&lt;$I$46, "3番",
  C60&lt;$J$46, "4番",
  "ウィングレット"
)</f>
        <v>端リブ</v>
      </c>
      <c r="H60" s="229" t="s">
        <v>756</v>
      </c>
      <c r="I60" s="6">
        <f>'主翼(桁)'!F54*2</f>
        <v>139.80908000000002</v>
      </c>
      <c r="J60" s="6">
        <f>'主翼(桁)'!G54*2</f>
        <v>131.666</v>
      </c>
      <c r="K60" s="6">
        <f t="shared" si="0"/>
        <v>0.38</v>
      </c>
      <c r="L60" s="6">
        <f>'主翼(平面形結果)'!O217</f>
        <v>160.52660379928719</v>
      </c>
      <c r="M60" s="196">
        <f t="shared" si="13"/>
        <v>20.717523799287164</v>
      </c>
      <c r="N60" s="273">
        <v>4.8132545260791417</v>
      </c>
      <c r="O60" s="196">
        <v>561565.51795163588</v>
      </c>
      <c r="P60" s="196">
        <v>11.30206633089235</v>
      </c>
      <c r="Q60" s="196">
        <v>0.16195956978682752</v>
      </c>
      <c r="R60" s="196">
        <v>-1.4212324998104806</v>
      </c>
      <c r="S60" s="196">
        <v>-0.1780052034123224</v>
      </c>
      <c r="T60" s="196">
        <v>1.1288250193085783</v>
      </c>
      <c r="U60" s="196">
        <v>8.500187856412933E-3</v>
      </c>
      <c r="V60" s="196">
        <v>7.598710458017916E-3</v>
      </c>
      <c r="W60" s="196">
        <v>-0.12904501121303735</v>
      </c>
      <c r="X60" s="196">
        <v>-1.6162509282179549E-2</v>
      </c>
      <c r="Y60" s="196">
        <v>0.10430111672660487</v>
      </c>
      <c r="Z60" s="196">
        <v>4.9180772779779591E-4</v>
      </c>
      <c r="AA60" s="196">
        <v>5.8981107258873218</v>
      </c>
      <c r="AB60" s="196">
        <v>6.188406876220847E-2</v>
      </c>
      <c r="AC60" s="196">
        <v>0.37322587454328282</v>
      </c>
      <c r="AD60" s="181" t="str">
        <f t="shared" si="1"/>
        <v>QX0026 root.dat</v>
      </c>
      <c r="AE60" s="6">
        <f t="shared" si="17"/>
        <v>100</v>
      </c>
      <c r="AF60" s="6" t="str">
        <f t="shared" si="2"/>
        <v>QX0026 root.dat</v>
      </c>
      <c r="AG60" s="6" cm="1">
        <f t="array" ref="AG60">IF(AD60=AF60,0,
  _xlfn.SWITCH(TRUE,
    $C60&lt;$H$7,  ($C60-$H$6)/($H$7-$H$6),
    $C60&lt;$H$8,  ($C60-$H$7)/($H$8-$H$7),
    $C60&lt;$H$9,  ($C60-$H$8)/($H$9-$H$8),
    $C60&lt;$H$10, ($C60-$H$9)/($H$10-$H$9),
    $C60&lt;$H$11, ($C60-$H$10)/($H$11-$H$10),
    $C60&lt;$H$12, ($C60-$H$11)/($H$12-$H$11),
    ($C60-$H$12)/($H$13-$H$12)
  )*100
)</f>
        <v>0</v>
      </c>
      <c r="AH60" s="6">
        <f t="shared" si="3"/>
        <v>0.41799999999999998</v>
      </c>
      <c r="AI60" s="6">
        <f t="shared" si="4"/>
        <v>-0.68200000000000016</v>
      </c>
      <c r="AJ60" s="6">
        <f t="shared" si="14"/>
        <v>1.3499999999999999</v>
      </c>
      <c r="AK60" s="6">
        <f t="shared" si="15"/>
        <v>0</v>
      </c>
      <c r="AL60" s="6">
        <f t="shared" si="5"/>
        <v>3.7199999999999998</v>
      </c>
      <c r="AM60" s="30">
        <f t="shared" si="6"/>
        <v>0</v>
      </c>
      <c r="AN60" s="198">
        <v>3.702787676334713</v>
      </c>
      <c r="AO60" s="196">
        <v>1.0871772781464828</v>
      </c>
      <c r="AP60" s="196">
        <v>1.3499026026321155</v>
      </c>
      <c r="AQ60" s="196">
        <v>1.425520747938514E-2</v>
      </c>
      <c r="AR60" s="196">
        <v>1.2842215339742903E-2</v>
      </c>
      <c r="AS60" s="196">
        <v>-1.7095297445857496E-2</v>
      </c>
      <c r="AT60" s="196">
        <f t="shared" si="7"/>
        <v>0</v>
      </c>
      <c r="AU60" s="196">
        <f t="shared" si="8"/>
        <v>0</v>
      </c>
      <c r="AV60" s="196">
        <f t="shared" si="9"/>
        <v>0</v>
      </c>
      <c r="AW60" s="196">
        <f t="shared" si="18"/>
        <v>0</v>
      </c>
      <c r="AX60" s="198">
        <f t="shared" si="19"/>
        <v>0</v>
      </c>
      <c r="AY60" s="164"/>
      <c r="AZ60" s="23"/>
      <c r="BA60" s="23"/>
      <c r="BB60" s="23"/>
      <c r="BC60" s="23"/>
      <c r="BD60" s="23"/>
      <c r="BE60" s="23"/>
      <c r="BF60" s="23"/>
      <c r="BG60" s="23"/>
      <c r="BH60" s="23"/>
      <c r="BI60" s="23"/>
      <c r="BJ60" s="23"/>
      <c r="BK60" s="23"/>
      <c r="BL60" s="23"/>
      <c r="BM60" s="23"/>
      <c r="BN60" s="23"/>
    </row>
    <row r="61" spans="1:66">
      <c r="A61" s="23">
        <f t="shared" si="10"/>
        <v>0.13905032500000003</v>
      </c>
      <c r="B61" s="100">
        <v>10</v>
      </c>
      <c r="C61" s="6">
        <f t="shared" si="16"/>
        <v>1.5249999999999999</v>
      </c>
      <c r="D61" s="6">
        <f t="shared" si="11"/>
        <v>1100</v>
      </c>
      <c r="E61" s="87">
        <v>0.15</v>
      </c>
      <c r="F61" s="87" t="str">
        <f t="shared" si="12"/>
        <v>flat</v>
      </c>
      <c r="G61" s="87" t="str" cm="1">
        <f t="array" ref="G61">_xlfn.SWITCH(TRUE,
  OR(C61=$F$46, C61=$G$46, C61=$H$46, C61=$I$46), "端リブ",
  C61&lt;$F$46, "0番",
  C61&lt;$G$46, "1番",
  C61&lt;$H$46, "2番",
  C61&lt;$I$46, "3番",
  C61&lt;$J$46, "4番",
  "ウィングレット"
)</f>
        <v>1番</v>
      </c>
      <c r="H61" s="229" t="s">
        <v>756</v>
      </c>
      <c r="I61" s="6">
        <f>'主翼(桁)'!F55*2</f>
        <v>137.95535750000002</v>
      </c>
      <c r="J61" s="6">
        <f>'主翼(桁)'!G55*2</f>
        <v>129.90725</v>
      </c>
      <c r="K61" s="6">
        <f t="shared" si="0"/>
        <v>0.38</v>
      </c>
      <c r="L61" s="6">
        <f>'主翼(平面形結果)'!O218</f>
        <v>160.52660379928719</v>
      </c>
      <c r="M61" s="196">
        <f t="shared" si="13"/>
        <v>22.571246299287168</v>
      </c>
      <c r="N61" s="273">
        <v>4.8000656937718382</v>
      </c>
      <c r="O61" s="196">
        <v>561565.51795163588</v>
      </c>
      <c r="P61" s="196">
        <v>9.6756223957607457</v>
      </c>
      <c r="Q61" s="196">
        <v>0.14087487200190618</v>
      </c>
      <c r="R61" s="196">
        <v>-1.2183602269917997</v>
      </c>
      <c r="S61" s="196">
        <v>-0.15404176345811796</v>
      </c>
      <c r="T61" s="196">
        <v>1.1274486486210116</v>
      </c>
      <c r="U61" s="196">
        <v>8.4937270633173023E-3</v>
      </c>
      <c r="V61" s="196">
        <v>8.0635879249387737E-3</v>
      </c>
      <c r="W61" s="196">
        <v>-0.12906274188787692</v>
      </c>
      <c r="X61" s="196">
        <v>-1.6317877025775793E-2</v>
      </c>
      <c r="Y61" s="196">
        <v>0.10441637004532783</v>
      </c>
      <c r="Z61" s="196">
        <v>4.879333999253427E-4</v>
      </c>
      <c r="AA61" s="196">
        <v>5.8909191890447863</v>
      </c>
      <c r="AB61" s="196">
        <v>7.5940151526960778E-2</v>
      </c>
      <c r="AC61" s="196">
        <v>0.45799552688021117</v>
      </c>
      <c r="AD61" s="181" t="str">
        <f t="shared" si="1"/>
        <v>QX0026 root.dat</v>
      </c>
      <c r="AE61" s="6">
        <f t="shared" si="17"/>
        <v>100</v>
      </c>
      <c r="AF61" s="6" t="str">
        <f t="shared" si="2"/>
        <v>QX0026 root.dat</v>
      </c>
      <c r="AG61" s="6" cm="1">
        <f t="array" ref="AG61">IF(AD61=AF61,0,
  _xlfn.SWITCH(TRUE,
    $C61&lt;$H$7,  ($C61-$H$6)/($H$7-$H$6),
    $C61&lt;$H$8,  ($C61-$H$7)/($H$8-$H$7),
    $C61&lt;$H$9,  ($C61-$H$8)/($H$9-$H$8),
    $C61&lt;$H$10, ($C61-$H$9)/($H$10-$H$9),
    $C61&lt;$H$11, ($C61-$H$10)/($H$11-$H$10),
    $C61&lt;$H$12, ($C61-$H$11)/($H$12-$H$11),
    ($C61-$H$12)/($H$13-$H$12)
  )*100
)</f>
        <v>0</v>
      </c>
      <c r="AH61" s="6">
        <f t="shared" si="3"/>
        <v>0.41799999999999998</v>
      </c>
      <c r="AI61" s="6">
        <f t="shared" si="4"/>
        <v>-0.68200000000000016</v>
      </c>
      <c r="AJ61" s="6">
        <f t="shared" si="14"/>
        <v>1.5249999999999999</v>
      </c>
      <c r="AK61" s="6">
        <f t="shared" si="15"/>
        <v>0</v>
      </c>
      <c r="AL61" s="6">
        <f t="shared" si="5"/>
        <v>3.7199999999999998</v>
      </c>
      <c r="AM61" s="30">
        <f t="shared" si="6"/>
        <v>0</v>
      </c>
      <c r="AN61" s="198">
        <v>3.7025555931619496</v>
      </c>
      <c r="AO61" s="196">
        <v>1.1030160389948522</v>
      </c>
      <c r="AP61" s="196">
        <v>1.5248710997352073</v>
      </c>
      <c r="AQ61" s="196">
        <v>1.757560225792101E-2</v>
      </c>
      <c r="AR61" s="196">
        <v>1.6137282056705948E-2</v>
      </c>
      <c r="AS61" s="196">
        <v>-1.7336489653093302E-2</v>
      </c>
      <c r="AT61" s="196">
        <f t="shared" si="7"/>
        <v>0</v>
      </c>
      <c r="AU61" s="196">
        <f t="shared" si="8"/>
        <v>0</v>
      </c>
      <c r="AV61" s="196">
        <f t="shared" si="9"/>
        <v>0</v>
      </c>
      <c r="AW61" s="196">
        <f t="shared" si="18"/>
        <v>0</v>
      </c>
      <c r="AX61" s="198">
        <f t="shared" si="19"/>
        <v>0</v>
      </c>
      <c r="AY61" s="164"/>
      <c r="AZ61" s="23"/>
      <c r="BA61" s="23"/>
      <c r="BB61" s="23"/>
      <c r="BC61" s="23"/>
      <c r="BD61" s="23"/>
      <c r="BE61" s="23"/>
      <c r="BF61" s="23"/>
      <c r="BG61" s="23"/>
      <c r="BH61" s="23"/>
      <c r="BI61" s="23"/>
      <c r="BJ61" s="23"/>
      <c r="BK61" s="23"/>
      <c r="BL61" s="23"/>
      <c r="BM61" s="23"/>
      <c r="BN61" s="23"/>
    </row>
    <row r="62" spans="1:66">
      <c r="A62" s="23">
        <f t="shared" si="10"/>
        <v>0.13760586590909091</v>
      </c>
      <c r="B62" s="158">
        <v>11</v>
      </c>
      <c r="C62" s="6">
        <f t="shared" si="16"/>
        <v>1.6749999999999998</v>
      </c>
      <c r="D62" s="6">
        <f t="shared" si="11"/>
        <v>1100</v>
      </c>
      <c r="E62" s="87">
        <v>0.15</v>
      </c>
      <c r="F62" s="87" t="str">
        <f t="shared" si="12"/>
        <v>flat</v>
      </c>
      <c r="G62" s="87" t="str" cm="1">
        <f t="array" ref="G62">_xlfn.SWITCH(TRUE,
  OR(C62=$F$46, C62=$G$46, C62=$H$46, C62=$I$46), "端リブ",
  C62&lt;$F$46, "0番",
  C62&lt;$G$46, "1番",
  C62&lt;$H$46, "2番",
  C62&lt;$I$46, "3番",
  C62&lt;$J$46, "4番",
  "ウィングレット"
)</f>
        <v>1番</v>
      </c>
      <c r="H62" s="229" t="s">
        <v>756</v>
      </c>
      <c r="I62" s="6">
        <f>'主翼(桁)'!F56*2</f>
        <v>136.36645250000001</v>
      </c>
      <c r="J62" s="6">
        <f>'主翼(桁)'!G56*2</f>
        <v>128.39974999999998</v>
      </c>
      <c r="K62" s="6">
        <f t="shared" si="0"/>
        <v>0.38</v>
      </c>
      <c r="L62" s="6">
        <f>'主翼(平面形結果)'!O219</f>
        <v>160.52660379928719</v>
      </c>
      <c r="M62" s="196">
        <f t="shared" si="13"/>
        <v>24.160151299287179</v>
      </c>
      <c r="N62" s="273">
        <v>4.767804793676051</v>
      </c>
      <c r="O62" s="196">
        <v>561565.51795163588</v>
      </c>
      <c r="P62" s="196">
        <v>9.6466072144233639</v>
      </c>
      <c r="Q62" s="196">
        <v>0.1459181921387806</v>
      </c>
      <c r="R62" s="196">
        <v>-1.21875098439934</v>
      </c>
      <c r="S62" s="196">
        <v>-0.15762419081277018</v>
      </c>
      <c r="T62" s="196">
        <v>1.1240755691395357</v>
      </c>
      <c r="U62" s="196">
        <v>8.4781374604770976E-3</v>
      </c>
      <c r="V62" s="196">
        <v>8.2752222610477898E-3</v>
      </c>
      <c r="W62" s="196">
        <v>-0.12910504330944417</v>
      </c>
      <c r="X62" s="196">
        <v>-1.6697486395490624E-2</v>
      </c>
      <c r="Y62" s="196">
        <v>0.10469552113526508</v>
      </c>
      <c r="Z62" s="196">
        <v>4.7856184155221958E-4</v>
      </c>
      <c r="AA62" s="196">
        <v>5.8732948487540746</v>
      </c>
      <c r="AB62" s="196">
        <v>5.9985728922463608E-2</v>
      </c>
      <c r="AC62" s="196">
        <v>0.36177720234966837</v>
      </c>
      <c r="AD62" s="181" t="str">
        <f t="shared" si="1"/>
        <v>QX0026 root.dat</v>
      </c>
      <c r="AE62" s="6">
        <f t="shared" si="17"/>
        <v>100</v>
      </c>
      <c r="AF62" s="6" t="str">
        <f t="shared" si="2"/>
        <v>QX0026 root.dat</v>
      </c>
      <c r="AG62" s="6" cm="1">
        <f t="array" ref="AG62">IF(AD62=AF62,0,
  _xlfn.SWITCH(TRUE,
    $C62&lt;$H$7,  ($C62-$H$6)/($H$7-$H$6),
    $C62&lt;$H$8,  ($C62-$H$7)/($H$8-$H$7),
    $C62&lt;$H$9,  ($C62-$H$8)/($H$9-$H$8),
    $C62&lt;$H$10, ($C62-$H$9)/($H$10-$H$9),
    $C62&lt;$H$11, ($C62-$H$10)/($H$11-$H$10),
    $C62&lt;$H$12, ($C62-$H$11)/($H$12-$H$11),
    ($C62-$H$12)/($H$13-$H$12)
  )*100
)</f>
        <v>0</v>
      </c>
      <c r="AH62" s="6">
        <f t="shared" si="3"/>
        <v>0.41799999999999998</v>
      </c>
      <c r="AI62" s="6">
        <f t="shared" si="4"/>
        <v>-0.68200000000000016</v>
      </c>
      <c r="AJ62" s="6">
        <f t="shared" si="14"/>
        <v>1.6749999999999998</v>
      </c>
      <c r="AK62" s="6">
        <f t="shared" si="15"/>
        <v>0</v>
      </c>
      <c r="AL62" s="6">
        <f t="shared" si="5"/>
        <v>3.7199999999999998</v>
      </c>
      <c r="AM62" s="30">
        <f t="shared" si="6"/>
        <v>0</v>
      </c>
      <c r="AN62" s="198">
        <v>3.7022472098564445</v>
      </c>
      <c r="AO62" s="196">
        <v>1.1237480716949941</v>
      </c>
      <c r="AP62" s="196">
        <v>1.6748433047632105</v>
      </c>
      <c r="AQ62" s="196">
        <v>2.0463113130373627E-2</v>
      </c>
      <c r="AR62" s="196">
        <v>1.9004862851668237E-2</v>
      </c>
      <c r="AS62" s="196">
        <v>-1.7559554880221082E-2</v>
      </c>
      <c r="AT62" s="196">
        <f t="shared" si="7"/>
        <v>0</v>
      </c>
      <c r="AU62" s="196">
        <f t="shared" si="8"/>
        <v>0</v>
      </c>
      <c r="AV62" s="196">
        <f t="shared" si="9"/>
        <v>0</v>
      </c>
      <c r="AW62" s="196">
        <f t="shared" si="18"/>
        <v>0</v>
      </c>
      <c r="AX62" s="198">
        <f t="shared" si="19"/>
        <v>0</v>
      </c>
      <c r="AY62" s="164"/>
      <c r="AZ62" s="23"/>
      <c r="BA62" s="23"/>
      <c r="BB62" s="23"/>
      <c r="BC62" s="23"/>
      <c r="BD62" s="23"/>
      <c r="BE62" s="23"/>
      <c r="BF62" s="23"/>
      <c r="BG62" s="23"/>
      <c r="BH62" s="23"/>
      <c r="BI62" s="23"/>
      <c r="BJ62" s="23"/>
      <c r="BK62" s="23"/>
      <c r="BL62" s="23"/>
      <c r="BM62" s="23"/>
      <c r="BN62" s="23"/>
    </row>
    <row r="63" spans="1:66">
      <c r="A63" s="23">
        <f t="shared" si="10"/>
        <v>0.1361535190615836</v>
      </c>
      <c r="B63" s="100">
        <v>12</v>
      </c>
      <c r="C63" s="6">
        <f t="shared" si="16"/>
        <v>1.8249999999999997</v>
      </c>
      <c r="D63" s="6">
        <f t="shared" si="11"/>
        <v>1100</v>
      </c>
      <c r="E63" s="87">
        <v>0.15</v>
      </c>
      <c r="F63" s="87" t="str">
        <f t="shared" si="12"/>
        <v>flat</v>
      </c>
      <c r="G63" s="87" t="str" cm="1">
        <f t="array" ref="G63">_xlfn.SWITCH(TRUE,
  OR(C63=$F$46, C63=$G$46, C63=$H$46, C63=$I$46), "端リブ",
  C63&lt;$F$46, "0番",
  C63&lt;$G$46, "1番",
  C63&lt;$H$46, "2番",
  C63&lt;$I$46, "3番",
  C63&lt;$J$46, "4番",
  "ウィングレット"
)</f>
        <v>1番</v>
      </c>
      <c r="H63" s="229" t="s">
        <v>756</v>
      </c>
      <c r="I63" s="6">
        <f>'主翼(桁)'!F57*2</f>
        <v>134.76887096774195</v>
      </c>
      <c r="J63" s="6">
        <f>'主翼(桁)'!G57*2</f>
        <v>126.88401799596009</v>
      </c>
      <c r="K63" s="6">
        <f t="shared" si="0"/>
        <v>0.38</v>
      </c>
      <c r="L63" s="6">
        <f>'主翼(平面形結果)'!O220</f>
        <v>160.52660379928719</v>
      </c>
      <c r="M63" s="196">
        <f t="shared" si="13"/>
        <v>25.757732831545241</v>
      </c>
      <c r="N63" s="273">
        <v>4.7566190841572276</v>
      </c>
      <c r="O63" s="196">
        <v>561565.51795163588</v>
      </c>
      <c r="P63" s="196">
        <v>9.6363583594983133</v>
      </c>
      <c r="Q63" s="196">
        <v>0.14752480371382709</v>
      </c>
      <c r="R63" s="196">
        <v>-1.2188615574656867</v>
      </c>
      <c r="S63" s="196">
        <v>-0.15886213792087236</v>
      </c>
      <c r="T63" s="196">
        <v>1.1229039388181228</v>
      </c>
      <c r="U63" s="196">
        <v>8.4728024028051796E-3</v>
      </c>
      <c r="V63" s="196">
        <v>8.9641891431783347E-3</v>
      </c>
      <c r="W63" s="196">
        <v>-0.12911935785209616</v>
      </c>
      <c r="X63" s="196">
        <v>-1.6828963970283911E-2</v>
      </c>
      <c r="Y63" s="196">
        <v>0.10479139225601991</v>
      </c>
      <c r="Z63" s="196">
        <v>4.753471071829371E-4</v>
      </c>
      <c r="AA63" s="196">
        <v>5.867173080324692</v>
      </c>
      <c r="AB63" s="196">
        <v>8.8595940078749963E-2</v>
      </c>
      <c r="AC63" s="196">
        <v>0.53431855728451594</v>
      </c>
      <c r="AD63" s="181" t="str">
        <f t="shared" si="1"/>
        <v>QX0026 root.dat</v>
      </c>
      <c r="AE63" s="6">
        <f t="shared" si="17"/>
        <v>100</v>
      </c>
      <c r="AF63" s="6" t="str">
        <f t="shared" si="2"/>
        <v>QX0026 root.dat</v>
      </c>
      <c r="AG63" s="6" cm="1">
        <f t="array" ref="AG63">IF(AD63=AF63,0,
  _xlfn.SWITCH(TRUE,
    $C63&lt;$H$7,  ($C63-$H$6)/($H$7-$H$6),
    $C63&lt;$H$8,  ($C63-$H$7)/($H$8-$H$7),
    $C63&lt;$H$9,  ($C63-$H$8)/($H$9-$H$8),
    $C63&lt;$H$10, ($C63-$H$9)/($H$10-$H$9),
    $C63&lt;$H$11, ($C63-$H$10)/($H$11-$H$10),
    $C63&lt;$H$12, ($C63-$H$11)/($H$12-$H$11),
    ($C63-$H$12)/($H$13-$H$12)
  )*100
)</f>
        <v>0</v>
      </c>
      <c r="AH63" s="6">
        <f t="shared" si="3"/>
        <v>0.41799999999999998</v>
      </c>
      <c r="AI63" s="6">
        <f t="shared" si="4"/>
        <v>-0.68200000000000016</v>
      </c>
      <c r="AJ63" s="6">
        <f t="shared" si="14"/>
        <v>1.8249999999999997</v>
      </c>
      <c r="AK63" s="6">
        <f t="shared" si="15"/>
        <v>0</v>
      </c>
      <c r="AL63" s="6">
        <f t="shared" si="5"/>
        <v>3.7199999999999998</v>
      </c>
      <c r="AM63" s="30">
        <f t="shared" si="6"/>
        <v>0</v>
      </c>
      <c r="AN63" s="198">
        <v>3.7013456211104252</v>
      </c>
      <c r="AO63" s="196">
        <v>1.1811293590136946</v>
      </c>
      <c r="AP63" s="196">
        <v>1.8248144551499446</v>
      </c>
      <c r="AQ63" s="196">
        <v>2.3404890089904061E-2</v>
      </c>
      <c r="AR63" s="196">
        <v>2.1912129756995021E-2</v>
      </c>
      <c r="AS63" s="196">
        <v>-1.7953339918267926E-2</v>
      </c>
      <c r="AT63" s="196">
        <f t="shared" si="7"/>
        <v>0</v>
      </c>
      <c r="AU63" s="196">
        <f t="shared" si="8"/>
        <v>0</v>
      </c>
      <c r="AV63" s="196">
        <f t="shared" si="9"/>
        <v>0</v>
      </c>
      <c r="AW63" s="196">
        <f t="shared" si="18"/>
        <v>0</v>
      </c>
      <c r="AX63" s="198">
        <f t="shared" si="19"/>
        <v>0</v>
      </c>
      <c r="AY63" s="164"/>
      <c r="AZ63" s="23"/>
      <c r="BA63" s="23"/>
      <c r="BB63" s="23"/>
      <c r="BC63" s="23"/>
      <c r="BD63" s="23"/>
      <c r="BE63" s="23"/>
      <c r="BF63" s="23"/>
      <c r="BG63" s="23"/>
      <c r="BH63" s="23"/>
      <c r="BI63" s="23"/>
      <c r="BJ63" s="23"/>
      <c r="BK63" s="23"/>
      <c r="BL63" s="23"/>
      <c r="BM63" s="23"/>
      <c r="BN63" s="23"/>
    </row>
    <row r="64" spans="1:66">
      <c r="A64" s="23">
        <f t="shared" si="10"/>
        <v>0.134693284457478</v>
      </c>
      <c r="B64" s="158">
        <v>13</v>
      </c>
      <c r="C64" s="6">
        <f t="shared" si="16"/>
        <v>1.9749999999999996</v>
      </c>
      <c r="D64" s="6">
        <f t="shared" si="11"/>
        <v>1100</v>
      </c>
      <c r="E64" s="87">
        <v>0.15</v>
      </c>
      <c r="F64" s="87" t="str">
        <f t="shared" si="12"/>
        <v>flat</v>
      </c>
      <c r="G64" s="87" t="str" cm="1">
        <f t="array" ref="G64">_xlfn.SWITCH(TRUE,
  OR(C64=$F$46, C64=$G$46, C64=$H$46, C64=$I$46), "端リブ",
  C64&lt;$F$46, "0番",
  C64&lt;$G$46, "1番",
  C64&lt;$H$46, "2番",
  C64&lt;$I$46, "3番",
  C64&lt;$J$46, "4番",
  "ウィングレット"
)</f>
        <v>1番</v>
      </c>
      <c r="H64" s="229" t="s">
        <v>756</v>
      </c>
      <c r="I64" s="6">
        <f>'主翼(桁)'!F58*2</f>
        <v>133.16261290322581</v>
      </c>
      <c r="J64" s="6">
        <f>'主翼(桁)'!G58*2</f>
        <v>125.36005398788026</v>
      </c>
      <c r="K64" s="6">
        <f t="shared" si="0"/>
        <v>0.38</v>
      </c>
      <c r="L64" s="6">
        <f>'主翼(平面形結果)'!O221</f>
        <v>160.52660379928719</v>
      </c>
      <c r="M64" s="196">
        <f t="shared" si="13"/>
        <v>27.363990896061381</v>
      </c>
      <c r="N64" s="273">
        <v>4.7128092256433618</v>
      </c>
      <c r="O64" s="196">
        <v>561565.51795163588</v>
      </c>
      <c r="P64" s="196">
        <v>9.5965736605404715</v>
      </c>
      <c r="Q64" s="196">
        <v>0.15414219321371042</v>
      </c>
      <c r="R64" s="196">
        <v>-1.2193341158000512</v>
      </c>
      <c r="S64" s="196">
        <v>-0.16371101314059955</v>
      </c>
      <c r="T64" s="196">
        <v>1.118304890996894</v>
      </c>
      <c r="U64" s="196">
        <v>8.4522505817029026E-3</v>
      </c>
      <c r="V64" s="196">
        <v>9.2619964898706872E-3</v>
      </c>
      <c r="W64" s="196">
        <v>-0.12917368917213523</v>
      </c>
      <c r="X64" s="196">
        <v>-1.7343200072445858E-2</v>
      </c>
      <c r="Y64" s="196">
        <v>0.10516232448773641</v>
      </c>
      <c r="Z64" s="196">
        <v>4.6292583127742828E-4</v>
      </c>
      <c r="AA64" s="196">
        <v>5.8431430554587722</v>
      </c>
      <c r="AB64" s="196">
        <v>6.8589143607966113E-2</v>
      </c>
      <c r="AC64" s="196">
        <v>0.41366317548166176</v>
      </c>
      <c r="AD64" s="181" t="str">
        <f t="shared" si="1"/>
        <v>QX0026 root.dat</v>
      </c>
      <c r="AE64" s="6">
        <f t="shared" si="17"/>
        <v>100</v>
      </c>
      <c r="AF64" s="6" t="str">
        <f t="shared" si="2"/>
        <v>QX0026 root.dat</v>
      </c>
      <c r="AG64" s="6" cm="1">
        <f t="array" ref="AG64">IF(AD64=AF64,0,
  _xlfn.SWITCH(TRUE,
    $C64&lt;$H$7,  ($C64-$H$6)/($H$7-$H$6),
    $C64&lt;$H$8,  ($C64-$H$7)/($H$8-$H$7),
    $C64&lt;$H$9,  ($C64-$H$8)/($H$9-$H$8),
    $C64&lt;$H$10, ($C64-$H$9)/($H$10-$H$9),
    $C64&lt;$H$11, ($C64-$H$10)/($H$11-$H$10),
    $C64&lt;$H$12, ($C64-$H$11)/($H$12-$H$11),
    ($C64-$H$12)/($H$13-$H$12)
  )*100
)</f>
        <v>0</v>
      </c>
      <c r="AH64" s="6">
        <f t="shared" si="3"/>
        <v>0.41799999999999998</v>
      </c>
      <c r="AI64" s="6">
        <f t="shared" si="4"/>
        <v>-0.68200000000000016</v>
      </c>
      <c r="AJ64" s="6">
        <f t="shared" si="14"/>
        <v>1.9749999999999996</v>
      </c>
      <c r="AK64" s="6">
        <f t="shared" si="15"/>
        <v>0</v>
      </c>
      <c r="AL64" s="6">
        <f t="shared" si="5"/>
        <v>3.7199999999999998</v>
      </c>
      <c r="AM64" s="30">
        <f t="shared" si="6"/>
        <v>0</v>
      </c>
      <c r="AN64" s="198">
        <v>3.6999280281997535</v>
      </c>
      <c r="AO64" s="196">
        <v>1.2696966613443057</v>
      </c>
      <c r="AP64" s="196">
        <v>1.9747825841603732</v>
      </c>
      <c r="AQ64" s="196">
        <v>2.6496860515288722E-2</v>
      </c>
      <c r="AR64" s="196">
        <v>2.4888253349040525E-2</v>
      </c>
      <c r="AS64" s="196">
        <v>-1.9363142650126241E-2</v>
      </c>
      <c r="AT64" s="196">
        <f t="shared" si="7"/>
        <v>0</v>
      </c>
      <c r="AU64" s="196">
        <f t="shared" si="8"/>
        <v>0</v>
      </c>
      <c r="AV64" s="196">
        <f t="shared" si="9"/>
        <v>0</v>
      </c>
      <c r="AW64" s="196">
        <f t="shared" si="18"/>
        <v>0</v>
      </c>
      <c r="AX64" s="198">
        <f t="shared" si="19"/>
        <v>0</v>
      </c>
      <c r="AY64" s="164"/>
      <c r="AZ64" s="23"/>
      <c r="BA64" s="23"/>
      <c r="BB64" s="23"/>
      <c r="BC64" s="23"/>
      <c r="BD64" s="23"/>
      <c r="BE64" s="23"/>
      <c r="BF64" s="23"/>
      <c r="BG64" s="23"/>
      <c r="BH64" s="23"/>
      <c r="BI64" s="23"/>
      <c r="BJ64" s="23"/>
      <c r="BK64" s="23"/>
      <c r="BL64" s="23"/>
      <c r="BM64" s="23"/>
      <c r="BN64" s="23"/>
    </row>
    <row r="65" spans="1:66">
      <c r="A65" s="23">
        <f t="shared" si="10"/>
        <v>0.13323304985337245</v>
      </c>
      <c r="B65" s="100">
        <v>14</v>
      </c>
      <c r="C65" s="6">
        <f t="shared" si="16"/>
        <v>2.1249999999999996</v>
      </c>
      <c r="D65" s="6">
        <f t="shared" si="11"/>
        <v>1100</v>
      </c>
      <c r="E65" s="87">
        <v>0.15</v>
      </c>
      <c r="F65" s="87" t="str">
        <f t="shared" si="12"/>
        <v>flat</v>
      </c>
      <c r="G65" s="87" t="str" cm="1">
        <f t="array" ref="G65">_xlfn.SWITCH(TRUE,
  OR(C65=$F$46, C65=$G$46, C65=$H$46, C65=$I$46), "端リブ",
  C65&lt;$F$46, "0番",
  C65&lt;$G$46, "1番",
  C65&lt;$H$46, "2番",
  C65&lt;$I$46, "3番",
  C65&lt;$J$46, "4番",
  "ウィングレット"
)</f>
        <v>1番</v>
      </c>
      <c r="H65" s="229" t="s">
        <v>756</v>
      </c>
      <c r="I65" s="6">
        <f>'主翼(桁)'!F59*2</f>
        <v>131.55635483870969</v>
      </c>
      <c r="J65" s="6">
        <f>'主翼(桁)'!G59*2</f>
        <v>123.83608997980046</v>
      </c>
      <c r="K65" s="6">
        <f t="shared" si="0"/>
        <v>0.38</v>
      </c>
      <c r="L65" s="6">
        <f>'主翼(平面形結果)'!O222</f>
        <v>160.52660379928719</v>
      </c>
      <c r="M65" s="196">
        <f t="shared" si="13"/>
        <v>28.970248960577493</v>
      </c>
      <c r="N65" s="273">
        <v>4.6870647394792773</v>
      </c>
      <c r="O65" s="196">
        <v>561565.51795163588</v>
      </c>
      <c r="P65" s="196">
        <v>9.5729768860438504</v>
      </c>
      <c r="Q65" s="196">
        <v>0.15790373691731496</v>
      </c>
      <c r="R65" s="196">
        <v>-1.2195800803489689</v>
      </c>
      <c r="S65" s="196">
        <v>-0.16655262288414555</v>
      </c>
      <c r="T65" s="196">
        <v>1.1155947733959346</v>
      </c>
      <c r="U65" s="196">
        <v>8.4404253454362088E-3</v>
      </c>
      <c r="V65" s="196">
        <v>1.0100651835790016E-2</v>
      </c>
      <c r="W65" s="196">
        <v>-0.12920433875966175</v>
      </c>
      <c r="X65" s="196">
        <v>-1.7644861420068311E-2</v>
      </c>
      <c r="Y65" s="196">
        <v>0.10537691091412567</v>
      </c>
      <c r="Z65" s="196">
        <v>4.5575106203944032E-4</v>
      </c>
      <c r="AA65" s="196">
        <v>5.828982690993759</v>
      </c>
      <c r="AB65" s="196">
        <v>9.4160360971659987E-2</v>
      </c>
      <c r="AC65" s="196">
        <v>0.56787522350163977</v>
      </c>
      <c r="AD65" s="181" t="str">
        <f t="shared" si="1"/>
        <v>QX0026 root.dat</v>
      </c>
      <c r="AE65" s="6">
        <f t="shared" si="17"/>
        <v>100</v>
      </c>
      <c r="AF65" s="6" t="str">
        <f t="shared" si="2"/>
        <v>QX0026 root.dat</v>
      </c>
      <c r="AG65" s="6" cm="1">
        <f t="array" ref="AG65">IF(AD65=AF65,0,
  _xlfn.SWITCH(TRUE,
    $C65&lt;$H$7,  ($C65-$H$6)/($H$7-$H$6),
    $C65&lt;$H$8,  ($C65-$H$7)/($H$8-$H$7),
    $C65&lt;$H$9,  ($C65-$H$8)/($H$9-$H$8),
    $C65&lt;$H$10, ($C65-$H$9)/($H$10-$H$9),
    $C65&lt;$H$11, ($C65-$H$10)/($H$11-$H$10),
    $C65&lt;$H$12, ($C65-$H$11)/($H$12-$H$11),
    ($C65-$H$12)/($H$13-$H$12)
  )*100
)</f>
        <v>0</v>
      </c>
      <c r="AH65" s="6">
        <f t="shared" si="3"/>
        <v>0.41799999999999998</v>
      </c>
      <c r="AI65" s="6">
        <f t="shared" si="4"/>
        <v>-0.68200000000000016</v>
      </c>
      <c r="AJ65" s="6">
        <f t="shared" si="14"/>
        <v>2.1249999999999996</v>
      </c>
      <c r="AK65" s="6">
        <f t="shared" si="15"/>
        <v>0</v>
      </c>
      <c r="AL65" s="6">
        <f t="shared" si="5"/>
        <v>3.7199999999999998</v>
      </c>
      <c r="AM65" s="30">
        <f t="shared" si="6"/>
        <v>0</v>
      </c>
      <c r="AN65" s="198">
        <v>3.6984947763549614</v>
      </c>
      <c r="AO65" s="196">
        <v>1.3584808345205714</v>
      </c>
      <c r="AP65" s="196">
        <v>2.1247457544604091</v>
      </c>
      <c r="AQ65" s="196">
        <v>2.9820646543669845E-2</v>
      </c>
      <c r="AR65" s="196">
        <v>2.8095940672302953E-2</v>
      </c>
      <c r="AS65" s="196">
        <v>-2.0789015855744275E-2</v>
      </c>
      <c r="AT65" s="196">
        <f t="shared" si="7"/>
        <v>0</v>
      </c>
      <c r="AU65" s="196">
        <f t="shared" si="8"/>
        <v>0</v>
      </c>
      <c r="AV65" s="196">
        <f t="shared" si="9"/>
        <v>0</v>
      </c>
      <c r="AW65" s="196">
        <f t="shared" si="18"/>
        <v>0</v>
      </c>
      <c r="AX65" s="198">
        <f t="shared" si="19"/>
        <v>0</v>
      </c>
      <c r="AY65" s="164"/>
      <c r="AZ65" s="23"/>
      <c r="BA65" s="23"/>
      <c r="BB65" s="23"/>
      <c r="BC65" s="23"/>
      <c r="BD65" s="23"/>
      <c r="BE65" s="23"/>
      <c r="BF65" s="23"/>
      <c r="BG65" s="23"/>
      <c r="BH65" s="23"/>
      <c r="BI65" s="23"/>
      <c r="BJ65" s="23"/>
      <c r="BK65" s="23"/>
      <c r="BL65" s="23"/>
      <c r="BM65" s="23"/>
      <c r="BN65" s="23"/>
    </row>
    <row r="66" spans="1:66">
      <c r="A66" s="23">
        <f t="shared" si="10"/>
        <v>0.13177281524926687</v>
      </c>
      <c r="B66" s="158">
        <v>15</v>
      </c>
      <c r="C66" s="6">
        <f t="shared" si="16"/>
        <v>2.2749999999999995</v>
      </c>
      <c r="D66" s="6">
        <f t="shared" si="11"/>
        <v>1100</v>
      </c>
      <c r="E66" s="87">
        <v>0.15</v>
      </c>
      <c r="F66" s="87" t="str">
        <f t="shared" si="12"/>
        <v>1st</v>
      </c>
      <c r="G66" s="87" t="str" cm="1">
        <f t="array" ref="G66">_xlfn.SWITCH(TRUE,
  OR(C66=$F$46, C66=$G$46, C66=$H$46, C66=$I$46), "端リブ",
  C66&lt;$F$46, "0番",
  C66&lt;$G$46, "1番",
  C66&lt;$H$46, "2番",
  C66&lt;$I$46, "3番",
  C66&lt;$J$46, "4番",
  "ウィングレット"
)</f>
        <v>1番</v>
      </c>
      <c r="H66" s="229" t="s">
        <v>756</v>
      </c>
      <c r="I66" s="6">
        <f>'主翼(桁)'!F60*2</f>
        <v>129.95009677419355</v>
      </c>
      <c r="J66" s="6">
        <f>'主翼(桁)'!G60*2</f>
        <v>122.31212597172065</v>
      </c>
      <c r="K66" s="6">
        <f t="shared" si="0"/>
        <v>0.38</v>
      </c>
      <c r="L66" s="6">
        <f>'主翼(平面形結果)'!O223</f>
        <v>160.52660379928719</v>
      </c>
      <c r="M66" s="196">
        <f t="shared" si="13"/>
        <v>30.576507025093633</v>
      </c>
      <c r="N66" s="273">
        <v>4.6792006153566659</v>
      </c>
      <c r="O66" s="196">
        <v>558561.91067997937</v>
      </c>
      <c r="P66" s="196">
        <v>9.5217612886530816</v>
      </c>
      <c r="Q66" s="196">
        <v>0.15800542653908795</v>
      </c>
      <c r="R66" s="196">
        <v>-1.2087507275288283</v>
      </c>
      <c r="S66" s="196">
        <v>-0.16695910940895409</v>
      </c>
      <c r="T66" s="196">
        <v>1.1156356617011962</v>
      </c>
      <c r="U66" s="196">
        <v>8.4489661229418481E-3</v>
      </c>
      <c r="V66" s="196">
        <v>9.9906816805711961E-3</v>
      </c>
      <c r="W66" s="196">
        <v>-0.12944291298600732</v>
      </c>
      <c r="X66" s="196">
        <v>-1.7879346815887723E-2</v>
      </c>
      <c r="Y66" s="196">
        <v>0.1053855187718766</v>
      </c>
      <c r="Z66" s="196">
        <v>4.5862420761872715E-4</v>
      </c>
      <c r="AA66" s="196">
        <v>5.7980181066391694</v>
      </c>
      <c r="AB66" s="196">
        <v>8.2665983171830854E-2</v>
      </c>
      <c r="AC66" s="196">
        <v>0.49855709521892755</v>
      </c>
      <c r="AD66" s="181" t="str">
        <f t="shared" si="1"/>
        <v>QX0026 root.dat</v>
      </c>
      <c r="AE66" s="6">
        <f t="shared" si="17"/>
        <v>100.00000000000001</v>
      </c>
      <c r="AF66" s="6" t="str">
        <f t="shared" si="2"/>
        <v>QX0226.dat</v>
      </c>
      <c r="AG66" s="6" cm="1">
        <f t="array" ref="AG66">IF(AD66=AF66,0,
  _xlfn.SWITCH(TRUE,
    $C66&lt;$H$7,  ($C66-$H$6)/($H$7-$H$6),
    $C66&lt;$H$8,  ($C66-$H$7)/($H$8-$H$7),
    $C66&lt;$H$9,  ($C66-$H$8)/($H$9-$H$8),
    $C66&lt;$H$10, ($C66-$H$9)/($H$10-$H$9),
    $C66&lt;$H$11, ($C66-$H$10)/($H$11-$H$10),
    $C66&lt;$H$12, ($C66-$H$11)/($H$12-$H$11),
    ($C66-$H$12)/($H$13-$H$12)
  )*100
)</f>
        <v>-1.724618290679855E-14</v>
      </c>
      <c r="AH66" s="6">
        <f t="shared" si="3"/>
        <v>0.41799999999999998</v>
      </c>
      <c r="AI66" s="6">
        <f t="shared" si="4"/>
        <v>-0.68200000000000016</v>
      </c>
      <c r="AJ66" s="6">
        <f t="shared" si="14"/>
        <v>2.2749999999999995</v>
      </c>
      <c r="AK66" s="6">
        <f t="shared" si="15"/>
        <v>0</v>
      </c>
      <c r="AL66" s="6">
        <f t="shared" si="5"/>
        <v>3.7199999999999998</v>
      </c>
      <c r="AM66" s="30">
        <f t="shared" si="6"/>
        <v>0</v>
      </c>
      <c r="AN66" s="198">
        <v>3.6958816350785533</v>
      </c>
      <c r="AO66" s="196">
        <v>1.4474820110197641</v>
      </c>
      <c r="AP66" s="196">
        <v>2.2747035942582499</v>
      </c>
      <c r="AQ66" s="196">
        <v>3.3376807839952956E-2</v>
      </c>
      <c r="AR66" s="196">
        <v>3.1535759483277789E-2</v>
      </c>
      <c r="AS66" s="196">
        <v>-2.2230041957309751E-2</v>
      </c>
      <c r="AT66" s="196">
        <f t="shared" si="7"/>
        <v>0</v>
      </c>
      <c r="AU66" s="196">
        <f t="shared" si="8"/>
        <v>0</v>
      </c>
      <c r="AV66" s="196">
        <f t="shared" si="9"/>
        <v>0</v>
      </c>
      <c r="AW66" s="196">
        <f t="shared" si="18"/>
        <v>0</v>
      </c>
      <c r="AX66" s="198">
        <f t="shared" si="19"/>
        <v>0</v>
      </c>
      <c r="AY66" s="164"/>
      <c r="AZ66" s="23"/>
      <c r="BA66" s="23"/>
      <c r="BB66" s="23"/>
      <c r="BC66" s="23"/>
      <c r="BD66" s="23"/>
      <c r="BE66" s="23"/>
      <c r="BF66" s="23"/>
      <c r="BG66" s="23"/>
      <c r="BH66" s="23"/>
      <c r="BI66" s="23"/>
      <c r="BJ66" s="23"/>
      <c r="BK66" s="23"/>
      <c r="BL66" s="23"/>
      <c r="BM66" s="23"/>
      <c r="BN66" s="23"/>
    </row>
    <row r="67" spans="1:66">
      <c r="A67" s="23">
        <f t="shared" si="10"/>
        <v>0.13172164180908547</v>
      </c>
      <c r="B67" s="100">
        <v>16</v>
      </c>
      <c r="C67" s="6">
        <f t="shared" si="16"/>
        <v>2.4249999999999994</v>
      </c>
      <c r="D67" s="6">
        <f t="shared" si="11"/>
        <v>1088.2330097087381</v>
      </c>
      <c r="E67" s="87">
        <v>0.15</v>
      </c>
      <c r="F67" s="87" t="str">
        <f t="shared" si="12"/>
        <v>1st</v>
      </c>
      <c r="G67" s="87" t="str" cm="1">
        <f t="array" ref="G67">_xlfn.SWITCH(TRUE,
  OR(C67=$F$46, C67=$G$46, C67=$H$46, C67=$I$46), "端リブ",
  C67&lt;$F$46, "0番",
  C67&lt;$G$46, "1番",
  C67&lt;$H$46, "2番",
  C67&lt;$I$46, "3番",
  C67&lt;$J$46, "4番",
  "ウィングレット"
)</f>
        <v>1番</v>
      </c>
      <c r="H67" s="229" t="s">
        <v>756</v>
      </c>
      <c r="I67" s="6">
        <f>'主翼(桁)'!F61*2</f>
        <v>128.34383870967744</v>
      </c>
      <c r="J67" s="6">
        <f>'主翼(桁)'!G61*2</f>
        <v>120.78816196364083</v>
      </c>
      <c r="K67" s="6">
        <f t="shared" si="0"/>
        <v>0.38</v>
      </c>
      <c r="L67" s="6">
        <f>'主翼(平面形結果)'!O224</f>
        <v>158.42711405017457</v>
      </c>
      <c r="M67" s="196">
        <f t="shared" si="13"/>
        <v>30.083275340497124</v>
      </c>
      <c r="N67" s="273">
        <v>4.714640485797613</v>
      </c>
      <c r="O67" s="196">
        <v>552554.69613666611</v>
      </c>
      <c r="P67" s="196">
        <v>9.4651170969826985</v>
      </c>
      <c r="Q67" s="196">
        <v>0.15058253598069815</v>
      </c>
      <c r="R67" s="196">
        <v>-1.1866216086965571</v>
      </c>
      <c r="S67" s="196">
        <v>-0.16216511917633855</v>
      </c>
      <c r="T67" s="196">
        <v>1.121101020456839</v>
      </c>
      <c r="U67" s="196">
        <v>8.490075349285019E-3</v>
      </c>
      <c r="V67" s="196">
        <v>9.3094321815094666E-3</v>
      </c>
      <c r="W67" s="196">
        <v>-0.12985643704876845</v>
      </c>
      <c r="X67" s="196">
        <v>-1.7746335003084576E-2</v>
      </c>
      <c r="Y67" s="196">
        <v>0.10497994768774255</v>
      </c>
      <c r="Z67" s="196">
        <v>4.7878058054313824E-4</v>
      </c>
      <c r="AA67" s="196">
        <v>5.7637599400214024</v>
      </c>
      <c r="AB67" s="196">
        <v>7.9118487429847215E-2</v>
      </c>
      <c r="AC67" s="196">
        <v>0.4771632220084448</v>
      </c>
      <c r="AD67" s="181" t="str">
        <f t="shared" si="1"/>
        <v>QX0026 root.dat</v>
      </c>
      <c r="AE67" s="6">
        <f t="shared" si="17"/>
        <v>94.174757281553411</v>
      </c>
      <c r="AF67" s="6" t="str">
        <f t="shared" si="2"/>
        <v>QX0226.dat</v>
      </c>
      <c r="AG67" s="6" cm="1">
        <f t="array" ref="AG67">IF(AD67=AF67,0,
  _xlfn.SWITCH(TRUE,
    $C67&lt;$H$7,  ($C67-$H$6)/($H$7-$H$6),
    $C67&lt;$H$8,  ($C67-$H$7)/($H$8-$H$7),
    $C67&lt;$H$9,  ($C67-$H$8)/($H$9-$H$8),
    $C67&lt;$H$10, ($C67-$H$9)/($H$10-$H$9),
    $C67&lt;$H$11, ($C67-$H$10)/($H$11-$H$10),
    $C67&lt;$H$12, ($C67-$H$11)/($H$12-$H$11),
    ($C67-$H$12)/($H$13-$H$12)
  )*100
)</f>
        <v>5.8252427184465816</v>
      </c>
      <c r="AH67" s="6">
        <f t="shared" si="3"/>
        <v>0.41352854368932046</v>
      </c>
      <c r="AI67" s="6">
        <f t="shared" si="4"/>
        <v>-0.67470446601941758</v>
      </c>
      <c r="AJ67" s="6">
        <f t="shared" si="14"/>
        <v>2.4249999999999994</v>
      </c>
      <c r="AK67" s="6">
        <f t="shared" si="15"/>
        <v>0</v>
      </c>
      <c r="AL67" s="6">
        <f t="shared" si="5"/>
        <v>3.717669902912621</v>
      </c>
      <c r="AM67" s="30">
        <f t="shared" si="6"/>
        <v>0</v>
      </c>
      <c r="AN67" s="198">
        <v>3.6920884670809313</v>
      </c>
      <c r="AO67" s="196">
        <v>1.5367006094938729</v>
      </c>
      <c r="AP67" s="196">
        <v>2.4246557291274353</v>
      </c>
      <c r="AQ67" s="196">
        <v>3.7165903797246859E-2</v>
      </c>
      <c r="AR67" s="196">
        <v>3.5208277481680192E-2</v>
      </c>
      <c r="AS67" s="196">
        <v>-2.3685702602632131E-2</v>
      </c>
      <c r="AT67" s="196">
        <f t="shared" si="7"/>
        <v>0</v>
      </c>
      <c r="AU67" s="196">
        <f t="shared" si="8"/>
        <v>0</v>
      </c>
      <c r="AV67" s="196">
        <f t="shared" si="9"/>
        <v>0</v>
      </c>
      <c r="AW67" s="196">
        <f t="shared" si="18"/>
        <v>0</v>
      </c>
      <c r="AX67" s="198">
        <f t="shared" si="19"/>
        <v>0</v>
      </c>
      <c r="AY67" s="164"/>
      <c r="AZ67" s="23"/>
      <c r="BA67" s="23"/>
      <c r="BB67" s="23"/>
      <c r="BC67" s="23"/>
      <c r="BD67" s="23"/>
      <c r="BE67" s="23"/>
      <c r="BF67" s="23"/>
      <c r="BG67" s="23"/>
      <c r="BH67" s="23"/>
      <c r="BI67" s="23"/>
      <c r="BJ67" s="23"/>
      <c r="BK67" s="23"/>
      <c r="BL67" s="23"/>
      <c r="BM67" s="23"/>
      <c r="BN67" s="23"/>
    </row>
    <row r="68" spans="1:66">
      <c r="A68" s="23">
        <f t="shared" si="10"/>
        <v>0.13166934960182194</v>
      </c>
      <c r="B68" s="158">
        <v>17</v>
      </c>
      <c r="C68" s="6">
        <f t="shared" si="16"/>
        <v>2.5749999999999993</v>
      </c>
      <c r="D68" s="6">
        <f t="shared" si="11"/>
        <v>1076.466019417476</v>
      </c>
      <c r="E68" s="87">
        <v>0.15</v>
      </c>
      <c r="F68" s="87" t="str">
        <f t="shared" si="12"/>
        <v>1st</v>
      </c>
      <c r="G68" s="87" t="str" cm="1">
        <f t="array" ref="G68">_xlfn.SWITCH(TRUE,
  OR(C68=$F$46, C68=$G$46, C68=$H$46, C68=$I$46), "端リブ",
  C68&lt;$F$46, "0番",
  C68&lt;$G$46, "1番",
  C68&lt;$H$46, "2番",
  C68&lt;$I$46, "3番",
  C68&lt;$J$46, "4番",
  "ウィングレット"
)</f>
        <v>1番</v>
      </c>
      <c r="H68" s="229" t="s">
        <v>756</v>
      </c>
      <c r="I68" s="6">
        <f>'主翼(桁)'!F62*2</f>
        <v>126.7375806451613</v>
      </c>
      <c r="J68" s="6">
        <f>'主翼(桁)'!G62*2</f>
        <v>119.264197955561</v>
      </c>
      <c r="K68" s="6">
        <f t="shared" si="0"/>
        <v>0.38</v>
      </c>
      <c r="L68" s="6">
        <f>'主翼(平面形結果)'!O225</f>
        <v>156.3358917462443</v>
      </c>
      <c r="M68" s="196">
        <f t="shared" si="13"/>
        <v>29.598311101082999</v>
      </c>
      <c r="N68" s="273">
        <v>4.7448221270340944</v>
      </c>
      <c r="O68" s="196">
        <v>546547.48159335286</v>
      </c>
      <c r="P68" s="196">
        <v>9.4027045050013793</v>
      </c>
      <c r="Q68" s="196">
        <v>0.14403413038938778</v>
      </c>
      <c r="R68" s="196">
        <v>-1.1646166377843781</v>
      </c>
      <c r="S68" s="196">
        <v>-0.15797952538971613</v>
      </c>
      <c r="T68" s="196">
        <v>1.1259980474477411</v>
      </c>
      <c r="U68" s="196">
        <v>8.5297753287342602E-3</v>
      </c>
      <c r="V68" s="196">
        <v>8.7652840474801604E-3</v>
      </c>
      <c r="W68" s="196">
        <v>-0.13027098286201796</v>
      </c>
      <c r="X68" s="196">
        <v>-1.7671178117243877E-2</v>
      </c>
      <c r="Y68" s="196">
        <v>0.10461696856676639</v>
      </c>
      <c r="Z68" s="196">
        <v>4.9783258233797908E-4</v>
      </c>
      <c r="AA68" s="196">
        <v>5.7260007018184123</v>
      </c>
      <c r="AB68" s="196">
        <v>7.7055504781893311E-2</v>
      </c>
      <c r="AC68" s="196">
        <v>0.46472193642657056</v>
      </c>
      <c r="AD68" s="181" t="str">
        <f t="shared" si="1"/>
        <v>QX0026 root.dat</v>
      </c>
      <c r="AE68" s="6">
        <f t="shared" si="17"/>
        <v>88.349514563106823</v>
      </c>
      <c r="AF68" s="6" t="str">
        <f t="shared" si="2"/>
        <v>QX0226.dat</v>
      </c>
      <c r="AG68" s="6" cm="1">
        <f t="array" ref="AG68">IF(AD68=AF68,0,
  _xlfn.SWITCH(TRUE,
    $C68&lt;$H$7,  ($C68-$H$6)/($H$7-$H$6),
    $C68&lt;$H$8,  ($C68-$H$7)/($H$8-$H$7),
    $C68&lt;$H$9,  ($C68-$H$8)/($H$9-$H$8),
    $C68&lt;$H$10, ($C68-$H$9)/($H$10-$H$9),
    $C68&lt;$H$11, ($C68-$H$10)/($H$11-$H$10),
    $C68&lt;$H$12, ($C68-$H$11)/($H$12-$H$11),
    ($C68-$H$12)/($H$13-$H$12)
  )*100
)</f>
        <v>11.650485436893181</v>
      </c>
      <c r="AH68" s="6">
        <f t="shared" si="3"/>
        <v>0.40905708737864088</v>
      </c>
      <c r="AI68" s="6">
        <f t="shared" si="4"/>
        <v>-0.66740893203883511</v>
      </c>
      <c r="AJ68" s="6">
        <f t="shared" si="14"/>
        <v>2.5749999999999993</v>
      </c>
      <c r="AK68" s="6">
        <f t="shared" si="15"/>
        <v>0</v>
      </c>
      <c r="AL68" s="6">
        <f t="shared" si="5"/>
        <v>3.7153398058252423</v>
      </c>
      <c r="AM68" s="30">
        <f t="shared" si="6"/>
        <v>0</v>
      </c>
      <c r="AN68" s="198">
        <v>3.6882798625017781</v>
      </c>
      <c r="AO68" s="196">
        <v>1.6261373215557227</v>
      </c>
      <c r="AP68" s="196">
        <v>2.5746017819792155</v>
      </c>
      <c r="AQ68" s="196">
        <v>4.1188494277411752E-2</v>
      </c>
      <c r="AR68" s="196">
        <v>3.9114063130271284E-2</v>
      </c>
      <c r="AS68" s="196">
        <v>-2.5156574710494227E-2</v>
      </c>
      <c r="AT68" s="196">
        <f t="shared" si="7"/>
        <v>0</v>
      </c>
      <c r="AU68" s="196">
        <f t="shared" si="8"/>
        <v>0</v>
      </c>
      <c r="AV68" s="196">
        <f t="shared" si="9"/>
        <v>0</v>
      </c>
      <c r="AW68" s="196">
        <f t="shared" si="18"/>
        <v>0</v>
      </c>
      <c r="AX68" s="198">
        <f t="shared" si="19"/>
        <v>0</v>
      </c>
      <c r="AY68" s="164"/>
      <c r="AZ68" s="23"/>
      <c r="BA68" s="23"/>
      <c r="BB68" s="23"/>
      <c r="BC68" s="23"/>
      <c r="BD68" s="23"/>
      <c r="BE68" s="23"/>
      <c r="BF68" s="23"/>
      <c r="BG68" s="23"/>
      <c r="BH68" s="23"/>
      <c r="BI68" s="23"/>
      <c r="BJ68" s="23"/>
      <c r="BK68" s="23"/>
      <c r="BL68" s="23"/>
      <c r="BM68" s="23"/>
      <c r="BN68" s="23"/>
    </row>
    <row r="69" spans="1:66">
      <c r="A69" s="23">
        <f t="shared" si="10"/>
        <v>0.13161590153383476</v>
      </c>
      <c r="B69" s="100">
        <v>18</v>
      </c>
      <c r="C69" s="6">
        <f t="shared" si="16"/>
        <v>2.7249999999999992</v>
      </c>
      <c r="D69" s="6">
        <f t="shared" si="11"/>
        <v>1064.6990291262136</v>
      </c>
      <c r="E69" s="87">
        <v>0.15</v>
      </c>
      <c r="F69" s="87" t="str">
        <f t="shared" si="12"/>
        <v>1st</v>
      </c>
      <c r="G69" s="87" t="str" cm="1">
        <f t="array" ref="G69">_xlfn.SWITCH(TRUE,
  OR(C69=$F$46, C69=$G$46, C69=$H$46, C69=$I$46), "端リブ",
  C69&lt;$F$46, "0番",
  C69&lt;$G$46, "1番",
  C69&lt;$H$46, "2番",
  C69&lt;$I$46, "3番",
  C69&lt;$J$46, "4番",
  "ウィングレット"
)</f>
        <v>1番</v>
      </c>
      <c r="H69" s="229" t="s">
        <v>756</v>
      </c>
      <c r="I69" s="6">
        <f>'主翼(桁)'!F63*2</f>
        <v>125.13132258064518</v>
      </c>
      <c r="J69" s="6">
        <f>'主翼(桁)'!G63*2</f>
        <v>117.74023394748119</v>
      </c>
      <c r="K69" s="6">
        <f t="shared" si="0"/>
        <v>0.38</v>
      </c>
      <c r="L69" s="6">
        <f>'主翼(平面形結果)'!O226</f>
        <v>154.25293688749645</v>
      </c>
      <c r="M69" s="196">
        <f t="shared" si="13"/>
        <v>29.121614306851271</v>
      </c>
      <c r="N69" s="273">
        <v>4.7653455740485402</v>
      </c>
      <c r="O69" s="196">
        <v>540540.26705003972</v>
      </c>
      <c r="P69" s="196">
        <v>9.3309379481798391</v>
      </c>
      <c r="Q69" s="196">
        <v>0.13902369876752652</v>
      </c>
      <c r="R69" s="196">
        <v>-1.142803323811697</v>
      </c>
      <c r="S69" s="196">
        <v>-0.15482911919752543</v>
      </c>
      <c r="T69" s="196">
        <v>1.1298734957419958</v>
      </c>
      <c r="U69" s="196">
        <v>8.5655281187307659E-3</v>
      </c>
      <c r="V69" s="196">
        <v>8.1858244597887032E-3</v>
      </c>
      <c r="W69" s="196">
        <v>-0.13069401816264509</v>
      </c>
      <c r="X69" s="196">
        <v>-1.7706668588445537E-2</v>
      </c>
      <c r="Y69" s="196">
        <v>0.10433483982627155</v>
      </c>
      <c r="Z69" s="196">
        <v>5.1433987792527604E-4</v>
      </c>
      <c r="AA69" s="196">
        <v>5.6825561414417018</v>
      </c>
      <c r="AB69" s="196">
        <v>6.6812069394512258E-2</v>
      </c>
      <c r="AC69" s="196">
        <v>0.40294594586285998</v>
      </c>
      <c r="AD69" s="181" t="str">
        <f t="shared" si="1"/>
        <v>QX0026 root.dat</v>
      </c>
      <c r="AE69" s="6">
        <f t="shared" si="17"/>
        <v>82.52427184466022</v>
      </c>
      <c r="AF69" s="6" t="str">
        <f t="shared" si="2"/>
        <v>QX0226.dat</v>
      </c>
      <c r="AG69" s="6" cm="1">
        <f t="array" ref="AG69">IF(AD69=AF69,0,
  _xlfn.SWITCH(TRUE,
    $C69&lt;$H$7,  ($C69-$H$6)/($H$7-$H$6),
    $C69&lt;$H$8,  ($C69-$H$7)/($H$8-$H$7),
    $C69&lt;$H$9,  ($C69-$H$8)/($H$9-$H$8),
    $C69&lt;$H$10, ($C69-$H$9)/($H$10-$H$9),
    $C69&lt;$H$11, ($C69-$H$10)/($H$11-$H$10),
    $C69&lt;$H$12, ($C69-$H$11)/($H$12-$H$11),
    ($C69-$H$12)/($H$13-$H$12)
  )*100
)</f>
        <v>17.47572815533978</v>
      </c>
      <c r="AH69" s="6">
        <f t="shared" si="3"/>
        <v>0.40458563106796119</v>
      </c>
      <c r="AI69" s="6">
        <f t="shared" si="4"/>
        <v>-0.66011339805825253</v>
      </c>
      <c r="AJ69" s="6">
        <f t="shared" si="14"/>
        <v>2.7249999999999992</v>
      </c>
      <c r="AK69" s="6">
        <f t="shared" si="15"/>
        <v>0</v>
      </c>
      <c r="AL69" s="6">
        <f t="shared" si="5"/>
        <v>3.7130097087378635</v>
      </c>
      <c r="AM69" s="30">
        <f t="shared" si="6"/>
        <v>0</v>
      </c>
      <c r="AN69" s="198">
        <v>3.6844554027467527</v>
      </c>
      <c r="AO69" s="196">
        <v>1.7157930891174704</v>
      </c>
      <c r="AP69" s="196">
        <v>2.7245413730300627</v>
      </c>
      <c r="AQ69" s="196">
        <v>4.5445140316809129E-2</v>
      </c>
      <c r="AR69" s="196">
        <v>4.3253686329105548E-2</v>
      </c>
      <c r="AS69" s="196">
        <v>-2.6643149915281075E-2</v>
      </c>
      <c r="AT69" s="196">
        <f t="shared" si="7"/>
        <v>0</v>
      </c>
      <c r="AU69" s="196">
        <f t="shared" si="8"/>
        <v>0</v>
      </c>
      <c r="AV69" s="196">
        <f t="shared" si="9"/>
        <v>0</v>
      </c>
      <c r="AW69" s="196">
        <f t="shared" si="18"/>
        <v>0</v>
      </c>
      <c r="AX69" s="198">
        <f t="shared" si="19"/>
        <v>0</v>
      </c>
      <c r="AY69" s="164"/>
      <c r="AZ69" s="23"/>
      <c r="BA69" s="23"/>
      <c r="BB69" s="23"/>
      <c r="BC69" s="23"/>
      <c r="BD69" s="23"/>
      <c r="BE69" s="23"/>
      <c r="BF69" s="23"/>
      <c r="BG69" s="23"/>
      <c r="BH69" s="23"/>
      <c r="BI69" s="23"/>
      <c r="BJ69" s="23"/>
      <c r="BK69" s="23"/>
      <c r="BL69" s="23"/>
      <c r="BM69" s="23"/>
      <c r="BN69" s="23"/>
    </row>
    <row r="70" spans="1:66">
      <c r="A70" s="23">
        <f t="shared" si="10"/>
        <v>0.13156125885332948</v>
      </c>
      <c r="B70" s="158">
        <v>19</v>
      </c>
      <c r="C70" s="6">
        <f t="shared" si="16"/>
        <v>2.8749999999999991</v>
      </c>
      <c r="D70" s="6">
        <f t="shared" si="11"/>
        <v>1052.9320388349518</v>
      </c>
      <c r="E70" s="87">
        <v>0.15</v>
      </c>
      <c r="F70" s="87" t="str">
        <f t="shared" si="12"/>
        <v>1st</v>
      </c>
      <c r="G70" s="87" t="str" cm="1">
        <f t="array" ref="G70">_xlfn.SWITCH(TRUE,
  OR(C70=$F$46, C70=$G$46, C70=$H$46, C70=$I$46), "端リブ",
  C70&lt;$F$46, "0番",
  C70&lt;$G$46, "1番",
  C70&lt;$H$46, "2番",
  C70&lt;$I$46, "3番",
  C70&lt;$J$46, "4番",
  "ウィングレット"
)</f>
        <v>1番</v>
      </c>
      <c r="H70" s="229" t="s">
        <v>756</v>
      </c>
      <c r="I70" s="6">
        <f>'主翼(桁)'!F64*2</f>
        <v>123.52506451612905</v>
      </c>
      <c r="J70" s="6">
        <f>'主翼(桁)'!G64*2</f>
        <v>116.21626993940137</v>
      </c>
      <c r="K70" s="6">
        <f t="shared" si="0"/>
        <v>0.38</v>
      </c>
      <c r="L70" s="6">
        <f>'主翼(平面形結果)'!O227</f>
        <v>152.17824947393092</v>
      </c>
      <c r="M70" s="196">
        <f t="shared" si="13"/>
        <v>28.653184957801869</v>
      </c>
      <c r="N70" s="273">
        <v>4.7893038314781862</v>
      </c>
      <c r="O70" s="196">
        <v>534533.05250672647</v>
      </c>
      <c r="P70" s="196">
        <v>9.261295455962026</v>
      </c>
      <c r="Q70" s="196">
        <v>0.13354460701863885</v>
      </c>
      <c r="R70" s="196">
        <v>-1.1210314459693385</v>
      </c>
      <c r="S70" s="196">
        <v>-0.1513288539851827</v>
      </c>
      <c r="T70" s="196">
        <v>1.134098270556795</v>
      </c>
      <c r="U70" s="196">
        <v>8.603817860050815E-3</v>
      </c>
      <c r="V70" s="196">
        <v>7.7861856323292906E-3</v>
      </c>
      <c r="W70" s="196">
        <v>-0.13110822169838882</v>
      </c>
      <c r="X70" s="196">
        <v>-1.7698394642709336E-2</v>
      </c>
      <c r="Y70" s="196">
        <v>0.10402395702058181</v>
      </c>
      <c r="Z70" s="196">
        <v>5.3212553672780222E-4</v>
      </c>
      <c r="AA70" s="196">
        <v>5.6404157272885778</v>
      </c>
      <c r="AB70" s="196">
        <v>6.8125630551752983E-2</v>
      </c>
      <c r="AC70" s="196">
        <v>0.41086781054288229</v>
      </c>
      <c r="AD70" s="181" t="str">
        <f t="shared" si="1"/>
        <v>QX0026 root.dat</v>
      </c>
      <c r="AE70" s="6">
        <f t="shared" si="17"/>
        <v>76.699029126213617</v>
      </c>
      <c r="AF70" s="6" t="str">
        <f t="shared" si="2"/>
        <v>QX0226.dat</v>
      </c>
      <c r="AG70" s="6" cm="1">
        <f t="array" ref="AG70">IF(AD70=AF70,0,
  _xlfn.SWITCH(TRUE,
    $C70&lt;$H$7,  ($C70-$H$6)/($H$7-$H$6),
    $C70&lt;$H$8,  ($C70-$H$7)/($H$8-$H$7),
    $C70&lt;$H$9,  ($C70-$H$8)/($H$9-$H$8),
    $C70&lt;$H$10, ($C70-$H$9)/($H$10-$H$9),
    $C70&lt;$H$11, ($C70-$H$10)/($H$11-$H$10),
    $C70&lt;$H$12, ($C70-$H$11)/($H$12-$H$11),
    ($C70-$H$12)/($H$13-$H$12)
  )*100
)</f>
        <v>23.30097087378638</v>
      </c>
      <c r="AH70" s="6">
        <f t="shared" si="3"/>
        <v>0.40011417475728167</v>
      </c>
      <c r="AI70" s="6">
        <f t="shared" si="4"/>
        <v>-0.65281786407767006</v>
      </c>
      <c r="AJ70" s="6">
        <f t="shared" si="14"/>
        <v>2.8749999999999991</v>
      </c>
      <c r="AK70" s="6">
        <f t="shared" si="15"/>
        <v>0</v>
      </c>
      <c r="AL70" s="6">
        <f t="shared" si="5"/>
        <v>3.7106796116504848</v>
      </c>
      <c r="AM70" s="30">
        <f t="shared" si="6"/>
        <v>0</v>
      </c>
      <c r="AN70" s="198">
        <v>3.680614742271215</v>
      </c>
      <c r="AO70" s="196">
        <v>1.8056691057061105</v>
      </c>
      <c r="AP70" s="196">
        <v>2.8744741197653538</v>
      </c>
      <c r="AQ70" s="196">
        <v>4.993640477251126E-2</v>
      </c>
      <c r="AR70" s="196">
        <v>4.7627719136331778E-2</v>
      </c>
      <c r="AS70" s="196">
        <v>-2.8145713528633834E-2</v>
      </c>
      <c r="AT70" s="196">
        <f t="shared" si="7"/>
        <v>0</v>
      </c>
      <c r="AU70" s="196">
        <f t="shared" si="8"/>
        <v>0</v>
      </c>
      <c r="AV70" s="196">
        <f t="shared" si="9"/>
        <v>0</v>
      </c>
      <c r="AW70" s="196">
        <f t="shared" si="18"/>
        <v>0</v>
      </c>
      <c r="AX70" s="198">
        <f t="shared" si="19"/>
        <v>0</v>
      </c>
      <c r="AY70" s="164"/>
      <c r="AZ70" s="23"/>
      <c r="BA70" s="23"/>
      <c r="BB70" s="23"/>
      <c r="BC70" s="23"/>
      <c r="BD70" s="23"/>
      <c r="BE70" s="23"/>
      <c r="BF70" s="23"/>
      <c r="BG70" s="23"/>
      <c r="BH70" s="23"/>
      <c r="BI70" s="23"/>
      <c r="BJ70" s="23"/>
      <c r="BK70" s="23"/>
      <c r="BL70" s="23"/>
      <c r="BM70" s="23"/>
      <c r="BN70" s="23"/>
    </row>
    <row r="71" spans="1:66">
      <c r="A71" s="23">
        <f t="shared" si="10"/>
        <v>0.13150538105665915</v>
      </c>
      <c r="B71" s="100">
        <v>20</v>
      </c>
      <c r="C71" s="6">
        <f t="shared" si="16"/>
        <v>3.024999999999999</v>
      </c>
      <c r="D71" s="6">
        <f t="shared" si="11"/>
        <v>1041.1650485436894</v>
      </c>
      <c r="E71" s="87">
        <v>0.15</v>
      </c>
      <c r="F71" s="87" t="str">
        <f t="shared" si="12"/>
        <v>1st</v>
      </c>
      <c r="G71" s="87" t="str" cm="1">
        <f t="array" ref="G71">_xlfn.SWITCH(TRUE,
  OR(C71=$F$46, C71=$G$46, C71=$H$46, C71=$I$46), "端リブ",
  C71&lt;$F$46, "0番",
  C71&lt;$G$46, "1番",
  C71&lt;$H$46, "2番",
  C71&lt;$I$46, "3番",
  C71&lt;$J$46, "4番",
  "ウィングレット"
)</f>
        <v>1番</v>
      </c>
      <c r="H71" s="229" t="s">
        <v>756</v>
      </c>
      <c r="I71" s="6">
        <f>'主翼(桁)'!F65*2</f>
        <v>121.91880645161292</v>
      </c>
      <c r="J71" s="6">
        <f>'主翼(桁)'!G65*2</f>
        <v>114.69230593132156</v>
      </c>
      <c r="K71" s="6">
        <f t="shared" si="0"/>
        <v>0.38</v>
      </c>
      <c r="L71" s="6">
        <f>'主翼(平面形結果)'!O228</f>
        <v>150.11182950554786</v>
      </c>
      <c r="M71" s="196">
        <f t="shared" si="13"/>
        <v>28.193023053934937</v>
      </c>
      <c r="N71" s="273">
        <v>4.8052949421479072</v>
      </c>
      <c r="O71" s="196">
        <v>528525.83796341345</v>
      </c>
      <c r="P71" s="196">
        <v>9.1841056764461246</v>
      </c>
      <c r="Q71" s="196">
        <v>0.12932451821060489</v>
      </c>
      <c r="R71" s="196">
        <v>-1.0994501943631267</v>
      </c>
      <c r="S71" s="196">
        <v>-0.14863667523482002</v>
      </c>
      <c r="T71" s="196">
        <v>1.1374864431773297</v>
      </c>
      <c r="U71" s="196">
        <v>8.6385869243038108E-3</v>
      </c>
      <c r="V71" s="196">
        <v>7.3299551270305961E-3</v>
      </c>
      <c r="W71" s="196">
        <v>-0.13153049108759823</v>
      </c>
      <c r="X71" s="196">
        <v>-1.7781846769865287E-2</v>
      </c>
      <c r="Y71" s="196">
        <v>0.10378084277020241</v>
      </c>
      <c r="Z71" s="196">
        <v>5.476891086841401E-4</v>
      </c>
      <c r="AA71" s="196">
        <v>5.5936889763438264</v>
      </c>
      <c r="AB71" s="196">
        <v>6.0533641352926881E-2</v>
      </c>
      <c r="AC71" s="196">
        <v>0.36508160305945636</v>
      </c>
      <c r="AD71" s="181" t="str">
        <f t="shared" si="1"/>
        <v>QX0026 root.dat</v>
      </c>
      <c r="AE71" s="6">
        <f t="shared" si="17"/>
        <v>70.873786407767028</v>
      </c>
      <c r="AF71" s="6" t="str">
        <f t="shared" si="2"/>
        <v>QX0226.dat</v>
      </c>
      <c r="AG71" s="6" cm="1">
        <f t="array" ref="AG71">IF(AD71=AF71,0,
  _xlfn.SWITCH(TRUE,
    $C71&lt;$H$7,  ($C71-$H$6)/($H$7-$H$6),
    $C71&lt;$H$8,  ($C71-$H$7)/($H$8-$H$7),
    $C71&lt;$H$9,  ($C71-$H$8)/($H$9-$H$8),
    $C71&lt;$H$10, ($C71-$H$9)/($H$10-$H$9),
    $C71&lt;$H$11, ($C71-$H$10)/($H$11-$H$10),
    $C71&lt;$H$12, ($C71-$H$11)/($H$12-$H$11),
    ($C71-$H$12)/($H$13-$H$12)
  )*100
)</f>
        <v>29.126213592232979</v>
      </c>
      <c r="AH71" s="6">
        <f t="shared" si="3"/>
        <v>0.39564271844660198</v>
      </c>
      <c r="AI71" s="6">
        <f t="shared" si="4"/>
        <v>-0.64552233009708737</v>
      </c>
      <c r="AJ71" s="6">
        <f t="shared" si="14"/>
        <v>3.024999999999999</v>
      </c>
      <c r="AK71" s="6">
        <f t="shared" si="15"/>
        <v>0</v>
      </c>
      <c r="AL71" s="6">
        <f t="shared" si="5"/>
        <v>3.7083495145631065</v>
      </c>
      <c r="AM71" s="30">
        <f t="shared" si="6"/>
        <v>0</v>
      </c>
      <c r="AN71" s="198">
        <v>3.6767575981638112</v>
      </c>
      <c r="AO71" s="196">
        <v>1.8957668149211933</v>
      </c>
      <c r="AP71" s="196">
        <v>3.0243996368977633</v>
      </c>
      <c r="AQ71" s="196">
        <v>5.4662852971700031E-2</v>
      </c>
      <c r="AR71" s="196">
        <v>5.2236736404513193E-2</v>
      </c>
      <c r="AS71" s="196">
        <v>-2.9664659932138102E-2</v>
      </c>
      <c r="AT71" s="196">
        <f t="shared" si="7"/>
        <v>0</v>
      </c>
      <c r="AU71" s="196">
        <f t="shared" si="8"/>
        <v>0</v>
      </c>
      <c r="AV71" s="196">
        <f t="shared" si="9"/>
        <v>0</v>
      </c>
      <c r="AW71" s="196">
        <f t="shared" si="18"/>
        <v>0</v>
      </c>
      <c r="AX71" s="198">
        <f t="shared" si="19"/>
        <v>0</v>
      </c>
      <c r="AY71" s="164"/>
      <c r="AZ71" s="23"/>
      <c r="BA71" s="23"/>
      <c r="BB71" s="23"/>
      <c r="BC71" s="23"/>
      <c r="BD71" s="23"/>
      <c r="BE71" s="23"/>
      <c r="BF71" s="23"/>
      <c r="BG71" s="23"/>
      <c r="BH71" s="23"/>
      <c r="BI71" s="23"/>
      <c r="BJ71" s="23"/>
      <c r="BK71" s="23"/>
      <c r="BL71" s="23"/>
      <c r="BM71" s="23"/>
      <c r="BN71" s="23"/>
    </row>
    <row r="72" spans="1:66">
      <c r="A72" s="23">
        <f t="shared" si="10"/>
        <v>0.13144822578819715</v>
      </c>
      <c r="B72" s="158">
        <v>21</v>
      </c>
      <c r="C72" s="6">
        <f t="shared" si="16"/>
        <v>3.1749999999999989</v>
      </c>
      <c r="D72" s="6">
        <f t="shared" si="11"/>
        <v>1029.3980582524273</v>
      </c>
      <c r="E72" s="87">
        <v>0.15</v>
      </c>
      <c r="F72" s="87" t="str">
        <f t="shared" si="12"/>
        <v>1st</v>
      </c>
      <c r="G72" s="87" t="str" cm="1">
        <f t="array" ref="G72">_xlfn.SWITCH(TRUE,
  OR(C72=$F$46, C72=$G$46, C72=$H$46, C72=$I$46), "端リブ",
  C72&lt;$F$46, "0番",
  C72&lt;$G$46, "1番",
  C72&lt;$H$46, "2番",
  C72&lt;$I$46, "3番",
  C72&lt;$J$46, "4番",
  "ウィングレット"
)</f>
        <v>1番</v>
      </c>
      <c r="H72" s="229" t="s">
        <v>756</v>
      </c>
      <c r="I72" s="6">
        <f>'主翼(桁)'!F66*2</f>
        <v>120.3125483870968</v>
      </c>
      <c r="J72" s="6">
        <f>'主翼(桁)'!G66*2</f>
        <v>113.16834192324174</v>
      </c>
      <c r="K72" s="6">
        <f t="shared" si="0"/>
        <v>0.38</v>
      </c>
      <c r="L72" s="6">
        <f>'主翼(平面形結果)'!O229</f>
        <v>148.05367698234716</v>
      </c>
      <c r="M72" s="196">
        <f t="shared" si="13"/>
        <v>27.741128595250359</v>
      </c>
      <c r="N72" s="273">
        <v>4.8228844520662886</v>
      </c>
      <c r="O72" s="196">
        <v>522518.62342010025</v>
      </c>
      <c r="P72" s="196">
        <v>9.1075543010161617</v>
      </c>
      <c r="Q72" s="196">
        <v>0.1249102648484586</v>
      </c>
      <c r="R72" s="196">
        <v>-1.0779452323943446</v>
      </c>
      <c r="S72" s="196">
        <v>-0.14577378625674675</v>
      </c>
      <c r="T72" s="196">
        <v>1.1410345020724946</v>
      </c>
      <c r="U72" s="196">
        <v>8.674863267944307E-3</v>
      </c>
      <c r="V72" s="196">
        <v>6.9757898314151351E-3</v>
      </c>
      <c r="W72" s="196">
        <v>-0.1319470475740086</v>
      </c>
      <c r="X72" s="196">
        <v>-1.7843597366759167E-2</v>
      </c>
      <c r="Y72" s="196">
        <v>0.10352470888421671</v>
      </c>
      <c r="Z72" s="196">
        <v>5.6393551498179484E-4</v>
      </c>
      <c r="AA72" s="196">
        <v>5.5473607919229231</v>
      </c>
      <c r="AB72" s="196">
        <v>5.9554035830562679E-2</v>
      </c>
      <c r="AC72" s="196">
        <v>0.35917370622631961</v>
      </c>
      <c r="AD72" s="181" t="str">
        <f t="shared" si="1"/>
        <v>QX0026 root.dat</v>
      </c>
      <c r="AE72" s="6">
        <f t="shared" si="17"/>
        <v>65.048543689320411</v>
      </c>
      <c r="AF72" s="6" t="str">
        <f t="shared" si="2"/>
        <v>QX0226.dat</v>
      </c>
      <c r="AG72" s="6" cm="1">
        <f t="array" ref="AG72">IF(AD72=AF72,0,
  _xlfn.SWITCH(TRUE,
    $C72&lt;$H$7,  ($C72-$H$6)/($H$7-$H$6),
    $C72&lt;$H$8,  ($C72-$H$7)/($H$8-$H$7),
    $C72&lt;$H$9,  ($C72-$H$8)/($H$9-$H$8),
    $C72&lt;$H$10, ($C72-$H$9)/($H$10-$H$9),
    $C72&lt;$H$11, ($C72-$H$10)/($H$11-$H$10),
    $C72&lt;$H$12, ($C72-$H$11)/($H$12-$H$11),
    ($C72-$H$12)/($H$13-$H$12)
  )*100
)</f>
        <v>34.951456310679582</v>
      </c>
      <c r="AH72" s="6">
        <f t="shared" si="3"/>
        <v>0.39117126213592235</v>
      </c>
      <c r="AI72" s="6">
        <f t="shared" si="4"/>
        <v>-0.63822679611650501</v>
      </c>
      <c r="AJ72" s="6">
        <f t="shared" si="14"/>
        <v>3.1749999999999989</v>
      </c>
      <c r="AK72" s="6">
        <f t="shared" si="15"/>
        <v>0</v>
      </c>
      <c r="AL72" s="6">
        <f t="shared" si="5"/>
        <v>3.7060194174757277</v>
      </c>
      <c r="AM72" s="30">
        <f t="shared" si="6"/>
        <v>0</v>
      </c>
      <c r="AN72" s="198">
        <v>3.6728837037844482</v>
      </c>
      <c r="AO72" s="196">
        <v>1.9860879214634739</v>
      </c>
      <c r="AP72" s="196">
        <v>3.1743175363205425</v>
      </c>
      <c r="AQ72" s="196">
        <v>5.9625053356750293E-2</v>
      </c>
      <c r="AR72" s="196">
        <v>5.7081316426482169E-2</v>
      </c>
      <c r="AS72" s="196">
        <v>-3.1200203961769826E-2</v>
      </c>
      <c r="AT72" s="196">
        <f t="shared" si="7"/>
        <v>0</v>
      </c>
      <c r="AU72" s="196">
        <f t="shared" si="8"/>
        <v>0</v>
      </c>
      <c r="AV72" s="196">
        <f t="shared" si="9"/>
        <v>0</v>
      </c>
      <c r="AW72" s="196">
        <f t="shared" si="18"/>
        <v>0</v>
      </c>
      <c r="AX72" s="198">
        <f t="shared" si="19"/>
        <v>0</v>
      </c>
      <c r="AY72" s="164"/>
      <c r="AZ72" s="23"/>
      <c r="BA72" s="23"/>
      <c r="BB72" s="23"/>
      <c r="BC72" s="23"/>
      <c r="BD72" s="23"/>
      <c r="BE72" s="23"/>
      <c r="BF72" s="23"/>
      <c r="BG72" s="23"/>
      <c r="BH72" s="23"/>
      <c r="BI72" s="23"/>
      <c r="BJ72" s="23"/>
      <c r="BK72" s="23"/>
      <c r="BL72" s="23"/>
      <c r="BM72" s="23"/>
      <c r="BN72" s="23"/>
    </row>
    <row r="73" spans="1:66">
      <c r="A73" s="23">
        <f t="shared" si="10"/>
        <v>0.13138974873326409</v>
      </c>
      <c r="B73" s="100">
        <v>22</v>
      </c>
      <c r="C73" s="6">
        <f t="shared" si="16"/>
        <v>3.3249999999999988</v>
      </c>
      <c r="D73" s="6">
        <f t="shared" si="11"/>
        <v>1017.6310679611653</v>
      </c>
      <c r="E73" s="87">
        <v>0.15</v>
      </c>
      <c r="F73" s="87" t="str">
        <f t="shared" si="12"/>
        <v>1st</v>
      </c>
      <c r="G73" s="87" t="str" cm="1">
        <f t="array" ref="G73">_xlfn.SWITCH(TRUE,
  OR(C73=$F$46, C73=$G$46, C73=$H$46, C73=$I$46), "端リブ",
  C73&lt;$F$46, "0番",
  C73&lt;$G$46, "1番",
  C73&lt;$H$46, "2番",
  C73&lt;$I$46, "3番",
  C73&lt;$J$46, "4番",
  "ウィングレット"
)</f>
        <v>1番</v>
      </c>
      <c r="H73" s="229" t="s">
        <v>756</v>
      </c>
      <c r="I73" s="6">
        <f>'主翼(桁)'!F67*2</f>
        <v>118.70629032258067</v>
      </c>
      <c r="J73" s="6">
        <f>'主翼(桁)'!G67*2</f>
        <v>111.64437791516193</v>
      </c>
      <c r="K73" s="6">
        <f t="shared" si="0"/>
        <v>0.38</v>
      </c>
      <c r="L73" s="6">
        <f>'主翼(平面形結果)'!O230</f>
        <v>146.00379190432881</v>
      </c>
      <c r="M73" s="196">
        <f t="shared" si="13"/>
        <v>27.297501581748136</v>
      </c>
      <c r="N73" s="273">
        <v>4.8367467980962164</v>
      </c>
      <c r="O73" s="196">
        <v>516511.40887678706</v>
      </c>
      <c r="P73" s="196">
        <v>9.0272487143370981</v>
      </c>
      <c r="Q73" s="196">
        <v>0.1210980824325823</v>
      </c>
      <c r="R73" s="196">
        <v>-1.0565907554225977</v>
      </c>
      <c r="S73" s="196">
        <v>-0.14326105782932697</v>
      </c>
      <c r="T73" s="196">
        <v>1.1441912282147946</v>
      </c>
      <c r="U73" s="196">
        <v>8.7096571896990386E-3</v>
      </c>
      <c r="V73" s="196">
        <v>6.6156199376438077E-3</v>
      </c>
      <c r="W73" s="196">
        <v>-0.13236642554743167</v>
      </c>
      <c r="X73" s="196">
        <v>-1.7947302725952227E-2</v>
      </c>
      <c r="Y73" s="196">
        <v>0.10330080881526352</v>
      </c>
      <c r="Z73" s="196">
        <v>5.7916790074321071E-4</v>
      </c>
      <c r="AA73" s="196">
        <v>5.4987553154199311</v>
      </c>
      <c r="AB73" s="196">
        <v>5.5299584488093689E-2</v>
      </c>
      <c r="AC73" s="196">
        <v>0.33351547517657254</v>
      </c>
      <c r="AD73" s="181" t="str">
        <f t="shared" si="1"/>
        <v>QX0026 root.dat</v>
      </c>
      <c r="AE73" s="6">
        <f t="shared" si="17"/>
        <v>59.223300970873822</v>
      </c>
      <c r="AF73" s="6" t="str">
        <f t="shared" si="2"/>
        <v>QX0226.dat</v>
      </c>
      <c r="AG73" s="6" cm="1">
        <f t="array" ref="AG73">IF(AD73=AF73,0,
  _xlfn.SWITCH(TRUE,
    $C73&lt;$H$7,  ($C73-$H$6)/($H$7-$H$6),
    $C73&lt;$H$8,  ($C73-$H$7)/($H$8-$H$7),
    $C73&lt;$H$9,  ($C73-$H$8)/($H$9-$H$8),
    $C73&lt;$H$10, ($C73-$H$9)/($H$10-$H$9),
    $C73&lt;$H$11, ($C73-$H$10)/($H$11-$H$10),
    $C73&lt;$H$12, ($C73-$H$11)/($H$12-$H$11),
    ($C73-$H$12)/($H$13-$H$12)
  )*100
)</f>
        <v>40.776699029126178</v>
      </c>
      <c r="AH73" s="6">
        <f t="shared" si="3"/>
        <v>0.38669980582524283</v>
      </c>
      <c r="AI73" s="6">
        <f t="shared" si="4"/>
        <v>-0.63093126213592243</v>
      </c>
      <c r="AJ73" s="6">
        <f t="shared" si="14"/>
        <v>3.3249999999999988</v>
      </c>
      <c r="AK73" s="6">
        <f t="shared" si="15"/>
        <v>0</v>
      </c>
      <c r="AL73" s="6">
        <f t="shared" si="5"/>
        <v>3.703689320388349</v>
      </c>
      <c r="AM73" s="30">
        <f t="shared" si="6"/>
        <v>0</v>
      </c>
      <c r="AN73" s="198">
        <v>3.6689928442585478</v>
      </c>
      <c r="AO73" s="196">
        <v>2.0766344070001175</v>
      </c>
      <c r="AP73" s="196">
        <v>3.3242274270545491</v>
      </c>
      <c r="AQ73" s="196">
        <v>6.4823578158863179E-2</v>
      </c>
      <c r="AR73" s="196">
        <v>6.2162041614277672E-2</v>
      </c>
      <c r="AS73" s="196">
        <v>-3.2752618116354951E-2</v>
      </c>
      <c r="AT73" s="196">
        <f t="shared" si="7"/>
        <v>0</v>
      </c>
      <c r="AU73" s="196">
        <f t="shared" si="8"/>
        <v>0</v>
      </c>
      <c r="AV73" s="196">
        <f t="shared" si="9"/>
        <v>0</v>
      </c>
      <c r="AW73" s="196">
        <f t="shared" si="18"/>
        <v>0</v>
      </c>
      <c r="AX73" s="198">
        <f t="shared" si="19"/>
        <v>0</v>
      </c>
      <c r="AY73" s="164"/>
      <c r="AZ73" s="23"/>
      <c r="BA73" s="23"/>
      <c r="BB73" s="23"/>
      <c r="BC73" s="23"/>
      <c r="BD73" s="23"/>
      <c r="BE73" s="23"/>
      <c r="BF73" s="23"/>
      <c r="BG73" s="23"/>
      <c r="BH73" s="23"/>
      <c r="BI73" s="23"/>
      <c r="BJ73" s="23"/>
      <c r="BK73" s="23"/>
      <c r="BL73" s="23"/>
      <c r="BM73" s="23"/>
      <c r="BN73" s="23"/>
    </row>
    <row r="74" spans="1:66">
      <c r="A74" s="23">
        <f t="shared" si="10"/>
        <v>0.13132990350353893</v>
      </c>
      <c r="B74" s="158">
        <v>23</v>
      </c>
      <c r="C74" s="6">
        <f t="shared" si="16"/>
        <v>3.4749999999999988</v>
      </c>
      <c r="D74" s="6">
        <f t="shared" si="11"/>
        <v>1005.8640776699031</v>
      </c>
      <c r="E74" s="87">
        <v>0.15</v>
      </c>
      <c r="F74" s="87" t="str">
        <f t="shared" si="12"/>
        <v>1st</v>
      </c>
      <c r="G74" s="87" t="str" cm="1">
        <f t="array" ref="G74">_xlfn.SWITCH(TRUE,
  OR(C74=$F$46, C74=$G$46, C74=$H$46, C74=$I$46), "端リブ",
  C74&lt;$F$46, "0番",
  C74&lt;$G$46, "1番",
  C74&lt;$H$46, "2番",
  C74&lt;$I$46, "3番",
  C74&lt;$J$46, "4番",
  "ウィングレット"
)</f>
        <v>1番</v>
      </c>
      <c r="H74" s="229" t="s">
        <v>756</v>
      </c>
      <c r="I74" s="6">
        <f>'主翼(桁)'!F68*2</f>
        <v>117.10003225806454</v>
      </c>
      <c r="J74" s="6">
        <f>'主翼(桁)'!G68*2</f>
        <v>110.12041390708211</v>
      </c>
      <c r="K74" s="6">
        <f t="shared" si="0"/>
        <v>0.38</v>
      </c>
      <c r="L74" s="6">
        <f>'主翼(平面形結果)'!O231</f>
        <v>143.96217427149284</v>
      </c>
      <c r="M74" s="196">
        <f t="shared" si="13"/>
        <v>26.862142013428297</v>
      </c>
      <c r="N74" s="273">
        <v>4.8501590586399494</v>
      </c>
      <c r="O74" s="196">
        <v>510504.1943334738</v>
      </c>
      <c r="P74" s="196">
        <v>8.945951738291015</v>
      </c>
      <c r="Q74" s="196">
        <v>0.1173936140530859</v>
      </c>
      <c r="R74" s="196">
        <v>-1.035349539225519</v>
      </c>
      <c r="S74" s="196">
        <v>-0.14077173617649202</v>
      </c>
      <c r="T74" s="196">
        <v>1.1472969938858655</v>
      </c>
      <c r="U74" s="196">
        <v>8.7447649593555693E-3</v>
      </c>
      <c r="V74" s="196">
        <v>6.2974748986501664E-3</v>
      </c>
      <c r="W74" s="196">
        <v>-0.1327836896831045</v>
      </c>
      <c r="X74" s="196">
        <v>-1.8053990294517971E-2</v>
      </c>
      <c r="Y74" s="196">
        <v>0.10308135719980299</v>
      </c>
      <c r="Z74" s="196">
        <v>5.9440551939027829E-4</v>
      </c>
      <c r="AA74" s="196">
        <v>5.4495549023030847</v>
      </c>
      <c r="AB74" s="196">
        <v>5.3000211449723E-2</v>
      </c>
      <c r="AC74" s="196">
        <v>0.31964809730684979</v>
      </c>
      <c r="AD74" s="181" t="str">
        <f t="shared" si="1"/>
        <v>QX0026 root.dat</v>
      </c>
      <c r="AE74" s="6">
        <f t="shared" si="17"/>
        <v>53.398058252427219</v>
      </c>
      <c r="AF74" s="6" t="str">
        <f t="shared" si="2"/>
        <v>QX0226.dat</v>
      </c>
      <c r="AG74" s="6" cm="1">
        <f t="array" ref="AG74">IF(AD74=AF74,0,
  _xlfn.SWITCH(TRUE,
    $C74&lt;$H$7,  ($C74-$H$6)/($H$7-$H$6),
    $C74&lt;$H$8,  ($C74-$H$7)/($H$8-$H$7),
    $C74&lt;$H$9,  ($C74-$H$8)/($H$9-$H$8),
    $C74&lt;$H$10, ($C74-$H$9)/($H$10-$H$9),
    $C74&lt;$H$11, ($C74-$H$10)/($H$11-$H$10),
    $C74&lt;$H$12, ($C74-$H$11)/($H$12-$H$11),
    ($C74-$H$12)/($H$13-$H$12)
  )*100
)</f>
        <v>46.601941747572781</v>
      </c>
      <c r="AH74" s="6">
        <f t="shared" si="3"/>
        <v>0.38222834951456314</v>
      </c>
      <c r="AI74" s="6">
        <f t="shared" si="4"/>
        <v>-0.62363572815533996</v>
      </c>
      <c r="AJ74" s="6">
        <f t="shared" si="14"/>
        <v>3.4749999999999988</v>
      </c>
      <c r="AK74" s="6">
        <f t="shared" si="15"/>
        <v>0</v>
      </c>
      <c r="AL74" s="6">
        <f t="shared" si="5"/>
        <v>3.7013592233009702</v>
      </c>
      <c r="AM74" s="30">
        <f t="shared" si="6"/>
        <v>0</v>
      </c>
      <c r="AN74" s="198">
        <v>3.6650848193028289</v>
      </c>
      <c r="AO74" s="196">
        <v>2.1674085491549944</v>
      </c>
      <c r="AP74" s="196">
        <v>3.4741289151882517</v>
      </c>
      <c r="AQ74" s="196">
        <v>7.0259004112866424E-2</v>
      </c>
      <c r="AR74" s="196">
        <v>6.7479499186939171E-2</v>
      </c>
      <c r="AS74" s="196">
        <v>-3.4322092722892494E-2</v>
      </c>
      <c r="AT74" s="196">
        <f t="shared" si="7"/>
        <v>0</v>
      </c>
      <c r="AU74" s="196">
        <f t="shared" si="8"/>
        <v>0</v>
      </c>
      <c r="AV74" s="196">
        <f t="shared" si="9"/>
        <v>0</v>
      </c>
      <c r="AW74" s="196">
        <f t="shared" si="18"/>
        <v>0</v>
      </c>
      <c r="AX74" s="198">
        <f t="shared" si="19"/>
        <v>0</v>
      </c>
      <c r="AY74" s="164"/>
      <c r="AZ74" s="23"/>
      <c r="BA74" s="23"/>
      <c r="BB74" s="23"/>
      <c r="BC74" s="23"/>
      <c r="BD74" s="23"/>
      <c r="BE74" s="23"/>
      <c r="BF74" s="23"/>
      <c r="BG74" s="23"/>
      <c r="BH74" s="23"/>
      <c r="BI74" s="23"/>
      <c r="BJ74" s="23"/>
      <c r="BK74" s="23"/>
      <c r="BL74" s="23"/>
      <c r="BM74" s="23"/>
      <c r="BN74" s="23"/>
    </row>
    <row r="75" spans="1:66">
      <c r="A75" s="23">
        <f t="shared" si="10"/>
        <v>0.13126864151433199</v>
      </c>
      <c r="B75" s="100">
        <v>24</v>
      </c>
      <c r="C75" s="6">
        <f t="shared" si="16"/>
        <v>3.6249999999999987</v>
      </c>
      <c r="D75" s="6">
        <f t="shared" si="11"/>
        <v>994.09708737864105</v>
      </c>
      <c r="E75" s="87">
        <v>0.15</v>
      </c>
      <c r="F75" s="87" t="str">
        <f t="shared" si="12"/>
        <v>1st</v>
      </c>
      <c r="G75" s="87" t="str" cm="1">
        <f t="array" ref="G75">_xlfn.SWITCH(TRUE,
  OR(C75=$F$46, C75=$G$46, C75=$H$46, C75=$I$46), "端リブ",
  C75&lt;$F$46, "0番",
  C75&lt;$G$46, "1番",
  C75&lt;$H$46, "2番",
  C75&lt;$I$46, "3番",
  C75&lt;$J$46, "4番",
  "ウィングレット"
)</f>
        <v>1番</v>
      </c>
      <c r="H75" s="229" t="s">
        <v>756</v>
      </c>
      <c r="I75" s="6">
        <f>'主翼(桁)'!F69*2</f>
        <v>115.4937741935484</v>
      </c>
      <c r="J75" s="6">
        <f>'主翼(桁)'!G69*2</f>
        <v>108.59644989900228</v>
      </c>
      <c r="K75" s="6">
        <f t="shared" si="0"/>
        <v>0.38</v>
      </c>
      <c r="L75" s="6">
        <f>'主翼(平面形結果)'!O232</f>
        <v>141.92882408383929</v>
      </c>
      <c r="M75" s="196">
        <f t="shared" si="13"/>
        <v>26.435049890290884</v>
      </c>
      <c r="N75" s="273">
        <v>4.8619803926344716</v>
      </c>
      <c r="O75" s="196">
        <v>504496.97979016061</v>
      </c>
      <c r="P75" s="196">
        <v>8.8627761664679454</v>
      </c>
      <c r="Q75" s="196">
        <v>0.11396244041610663</v>
      </c>
      <c r="R75" s="196">
        <v>-1.0142415602102375</v>
      </c>
      <c r="S75" s="196">
        <v>-0.13840997294799851</v>
      </c>
      <c r="T75" s="196">
        <v>1.1502347526823709</v>
      </c>
      <c r="U75" s="196">
        <v>8.779491793693972E-3</v>
      </c>
      <c r="V75" s="196">
        <v>5.9937963155870669E-3</v>
      </c>
      <c r="W75" s="196">
        <v>-0.13320093807250405</v>
      </c>
      <c r="X75" s="196">
        <v>-1.8177462804266992E-2</v>
      </c>
      <c r="Y75" s="196">
        <v>0.10287606009695055</v>
      </c>
      <c r="Z75" s="196">
        <v>6.0926102263248816E-4</v>
      </c>
      <c r="AA75" s="196">
        <v>5.3992186800825923</v>
      </c>
      <c r="AB75" s="196">
        <v>5.0176269142561729E-2</v>
      </c>
      <c r="AC75" s="196">
        <v>0.30261702325602757</v>
      </c>
      <c r="AD75" s="181" t="str">
        <f t="shared" si="1"/>
        <v>QX0026 root.dat</v>
      </c>
      <c r="AE75" s="6">
        <f t="shared" si="17"/>
        <v>47.572815533980631</v>
      </c>
      <c r="AF75" s="6" t="str">
        <f t="shared" si="2"/>
        <v>QX0226.dat</v>
      </c>
      <c r="AG75" s="6" cm="1">
        <f t="array" ref="AG75">IF(AD75=AF75,0,
  _xlfn.SWITCH(TRUE,
    $C75&lt;$H$7,  ($C75-$H$6)/($H$7-$H$6),
    $C75&lt;$H$8,  ($C75-$H$7)/($H$8-$H$7),
    $C75&lt;$H$9,  ($C75-$H$8)/($H$9-$H$8),
    $C75&lt;$H$10, ($C75-$H$9)/($H$10-$H$9),
    $C75&lt;$H$11, ($C75-$H$10)/($H$11-$H$10),
    $C75&lt;$H$12, ($C75-$H$11)/($H$12-$H$11),
    ($C75-$H$12)/($H$13-$H$12)
  )*100
)</f>
        <v>52.427184466019369</v>
      </c>
      <c r="AH75" s="6">
        <f t="shared" si="3"/>
        <v>0.37775689320388356</v>
      </c>
      <c r="AI75" s="6">
        <f t="shared" si="4"/>
        <v>-0.61634019417475749</v>
      </c>
      <c r="AJ75" s="6">
        <f t="shared" si="14"/>
        <v>3.6249999999999987</v>
      </c>
      <c r="AK75" s="6">
        <f t="shared" si="15"/>
        <v>0</v>
      </c>
      <c r="AL75" s="6">
        <f t="shared" si="5"/>
        <v>3.6990291262135919</v>
      </c>
      <c r="AM75" s="30">
        <f t="shared" si="6"/>
        <v>0</v>
      </c>
      <c r="AN75" s="198">
        <v>3.6611594589593786</v>
      </c>
      <c r="AO75" s="196">
        <v>2.2584129483179902</v>
      </c>
      <c r="AP75" s="196">
        <v>3.6240216038099695</v>
      </c>
      <c r="AQ75" s="196">
        <v>7.5931913221314123E-2</v>
      </c>
      <c r="AR75" s="196">
        <v>7.3034281926057085E-2</v>
      </c>
      <c r="AS75" s="196">
        <v>-3.5908818419940668E-2</v>
      </c>
      <c r="AT75" s="196">
        <f t="shared" si="7"/>
        <v>0</v>
      </c>
      <c r="AU75" s="196">
        <f t="shared" si="8"/>
        <v>0</v>
      </c>
      <c r="AV75" s="196">
        <f t="shared" si="9"/>
        <v>0</v>
      </c>
      <c r="AW75" s="196">
        <f t="shared" si="18"/>
        <v>0</v>
      </c>
      <c r="AX75" s="198">
        <f t="shared" si="19"/>
        <v>0</v>
      </c>
      <c r="AY75" s="164"/>
      <c r="AZ75" s="23"/>
      <c r="BA75" s="23"/>
      <c r="BB75" s="23"/>
      <c r="BC75" s="23"/>
      <c r="BD75" s="23"/>
      <c r="BE75" s="23"/>
      <c r="BF75" s="23"/>
      <c r="BG75" s="23"/>
      <c r="BH75" s="23"/>
      <c r="BI75" s="23"/>
      <c r="BJ75" s="23"/>
      <c r="BK75" s="23"/>
      <c r="BL75" s="23"/>
      <c r="BM75" s="23"/>
      <c r="BN75" s="23"/>
    </row>
    <row r="76" spans="1:66">
      <c r="A76" s="23">
        <f t="shared" si="10"/>
        <v>0.1312059118530374</v>
      </c>
      <c r="B76" s="158">
        <v>25</v>
      </c>
      <c r="C76" s="6">
        <f t="shared" si="16"/>
        <v>3.7749999999999986</v>
      </c>
      <c r="D76" s="6">
        <f t="shared" si="11"/>
        <v>982.33009708737882</v>
      </c>
      <c r="E76" s="87">
        <v>0.15</v>
      </c>
      <c r="F76" s="87" t="str">
        <f t="shared" si="12"/>
        <v>1st</v>
      </c>
      <c r="G76" s="87" t="str" cm="1">
        <f t="array" ref="G76">_xlfn.SWITCH(TRUE,
  OR(C76=$F$46, C76=$G$46, C76=$H$46, C76=$I$46), "端リブ",
  C76&lt;$F$46, "0番",
  C76&lt;$G$46, "1番",
  C76&lt;$H$46, "2番",
  C76&lt;$I$46, "3番",
  C76&lt;$J$46, "4番",
  "ウィングレット"
)</f>
        <v>1番</v>
      </c>
      <c r="H76" s="229" t="s">
        <v>756</v>
      </c>
      <c r="I76" s="6">
        <f>'主翼(桁)'!F70*2</f>
        <v>113.88751612903229</v>
      </c>
      <c r="J76" s="6">
        <f>'主翼(桁)'!G70*2</f>
        <v>107.07248589092247</v>
      </c>
      <c r="K76" s="6">
        <f t="shared" si="0"/>
        <v>0.38</v>
      </c>
      <c r="L76" s="6">
        <f>'主翼(平面形結果)'!O233</f>
        <v>139.90374134136809</v>
      </c>
      <c r="M76" s="196">
        <f t="shared" si="13"/>
        <v>26.016225212335797</v>
      </c>
      <c r="N76" s="273">
        <v>4.8729444497742627</v>
      </c>
      <c r="O76" s="196">
        <v>498489.76524684753</v>
      </c>
      <c r="P76" s="196">
        <v>8.7783501283724021</v>
      </c>
      <c r="Q76" s="196">
        <v>0.11069309979347977</v>
      </c>
      <c r="R76" s="196">
        <v>-0.99326184373195547</v>
      </c>
      <c r="S76" s="196">
        <v>-0.13610282838154195</v>
      </c>
      <c r="T76" s="196">
        <v>1.1530808310905574</v>
      </c>
      <c r="U76" s="196">
        <v>8.8142458782071911E-3</v>
      </c>
      <c r="V76" s="196">
        <v>5.7098440305322611E-3</v>
      </c>
      <c r="W76" s="196">
        <v>-0.13361712024842554</v>
      </c>
      <c r="X76" s="196">
        <v>-1.8309037139369821E-2</v>
      </c>
      <c r="Y76" s="196">
        <v>0.10267867773899909</v>
      </c>
      <c r="Z76" s="196">
        <v>6.2396044704052082E-4</v>
      </c>
      <c r="AA76" s="196">
        <v>5.3481288315920708</v>
      </c>
      <c r="AB76" s="196">
        <v>4.7770434416942328E-2</v>
      </c>
      <c r="AC76" s="196">
        <v>0.28810749566205229</v>
      </c>
      <c r="AD76" s="181" t="str">
        <f t="shared" si="1"/>
        <v>QX0026 root.dat</v>
      </c>
      <c r="AE76" s="6">
        <f t="shared" si="17"/>
        <v>41.747572815534028</v>
      </c>
      <c r="AF76" s="6" t="str">
        <f t="shared" si="2"/>
        <v>QX0226.dat</v>
      </c>
      <c r="AG76" s="6" cm="1">
        <f t="array" ref="AG76">IF(AD76=AF76,0,
  _xlfn.SWITCH(TRUE,
    $C76&lt;$H$7,  ($C76-$H$6)/($H$7-$H$6),
    $C76&lt;$H$8,  ($C76-$H$7)/($H$8-$H$7),
    $C76&lt;$H$9,  ($C76-$H$8)/($H$9-$H$8),
    $C76&lt;$H$10, ($C76-$H$9)/($H$10-$H$9),
    $C76&lt;$H$11, ($C76-$H$10)/($H$11-$H$10),
    $C76&lt;$H$12, ($C76-$H$11)/($H$12-$H$11),
    ($C76-$H$12)/($H$13-$H$12)
  )*100
)</f>
        <v>58.252427184465972</v>
      </c>
      <c r="AH76" s="6">
        <f t="shared" si="3"/>
        <v>0.37328543689320393</v>
      </c>
      <c r="AI76" s="6">
        <f t="shared" si="4"/>
        <v>-0.60904466019417491</v>
      </c>
      <c r="AJ76" s="6">
        <f t="shared" si="14"/>
        <v>3.7749999999999986</v>
      </c>
      <c r="AK76" s="6">
        <f t="shared" si="15"/>
        <v>0</v>
      </c>
      <c r="AL76" s="6">
        <f t="shared" si="5"/>
        <v>3.6966990291262132</v>
      </c>
      <c r="AM76" s="30">
        <f t="shared" si="6"/>
        <v>0</v>
      </c>
      <c r="AN76" s="198">
        <v>3.6572166102659427</v>
      </c>
      <c r="AO76" s="196">
        <v>2.3496505580987312</v>
      </c>
      <c r="AP76" s="196">
        <v>3.7739050929310238</v>
      </c>
      <c r="AQ76" s="196">
        <v>8.1842893588291027E-2</v>
      </c>
      <c r="AR76" s="196">
        <v>7.8826988977146781E-2</v>
      </c>
      <c r="AS76" s="196">
        <v>-3.7512953498316702E-2</v>
      </c>
      <c r="AT76" s="196">
        <f t="shared" si="7"/>
        <v>0</v>
      </c>
      <c r="AU76" s="196">
        <f t="shared" si="8"/>
        <v>0</v>
      </c>
      <c r="AV76" s="196">
        <f t="shared" si="9"/>
        <v>0</v>
      </c>
      <c r="AW76" s="196">
        <f t="shared" si="18"/>
        <v>0</v>
      </c>
      <c r="AX76" s="198">
        <f t="shared" si="19"/>
        <v>0</v>
      </c>
      <c r="AY76" s="164"/>
      <c r="AZ76" s="23"/>
      <c r="BA76" s="23"/>
      <c r="BB76" s="23"/>
      <c r="BC76" s="23"/>
      <c r="BD76" s="23"/>
      <c r="BE76" s="23"/>
      <c r="BF76" s="23"/>
      <c r="BG76" s="23"/>
      <c r="BH76" s="23"/>
      <c r="BI76" s="23"/>
      <c r="BJ76" s="23"/>
      <c r="BK76" s="23"/>
      <c r="BL76" s="23"/>
      <c r="BM76" s="23"/>
      <c r="BN76" s="23"/>
    </row>
    <row r="77" spans="1:66">
      <c r="A77" s="23">
        <f t="shared" si="10"/>
        <v>0.13114166113801579</v>
      </c>
      <c r="B77" s="100">
        <v>26</v>
      </c>
      <c r="C77" s="6">
        <f t="shared" si="16"/>
        <v>3.9249999999999985</v>
      </c>
      <c r="D77" s="6">
        <f t="shared" si="11"/>
        <v>970.5631067961167</v>
      </c>
      <c r="E77" s="87">
        <v>0.15</v>
      </c>
      <c r="F77" s="87" t="str">
        <f t="shared" si="12"/>
        <v>1st</v>
      </c>
      <c r="G77" s="87" t="str" cm="1">
        <f t="array" ref="G77">_xlfn.SWITCH(TRUE,
  OR(C77=$F$46, C77=$G$46, C77=$H$46, C77=$I$46), "端リブ",
  C77&lt;$F$46, "0番",
  C77&lt;$G$46, "1番",
  C77&lt;$H$46, "2番",
  C77&lt;$I$46, "3番",
  C77&lt;$J$46, "4番",
  "ウィングレット"
)</f>
        <v>1番</v>
      </c>
      <c r="H77" s="229" t="s">
        <v>756</v>
      </c>
      <c r="I77" s="6">
        <f>'主翼(桁)'!F71*2</f>
        <v>112.28125806451615</v>
      </c>
      <c r="J77" s="6">
        <f>'主翼(桁)'!G71*2</f>
        <v>105.54852188284264</v>
      </c>
      <c r="K77" s="6">
        <f t="shared" si="0"/>
        <v>0.38</v>
      </c>
      <c r="L77" s="6">
        <f>'主翼(平面形結果)'!O234</f>
        <v>137.8869260440793</v>
      </c>
      <c r="M77" s="196">
        <f t="shared" si="13"/>
        <v>25.605667979563151</v>
      </c>
      <c r="N77" s="273">
        <v>4.8830544425655846</v>
      </c>
      <c r="O77" s="196">
        <v>492482.55070353427</v>
      </c>
      <c r="P77" s="196">
        <v>8.6927059700184941</v>
      </c>
      <c r="Q77" s="196">
        <v>0.1075824013134172</v>
      </c>
      <c r="R77" s="196">
        <v>-0.97241487604316601</v>
      </c>
      <c r="S77" s="196">
        <v>-0.13384725410823634</v>
      </c>
      <c r="T77" s="196">
        <v>1.1558360787029005</v>
      </c>
      <c r="U77" s="196">
        <v>8.8490135621922383E-3</v>
      </c>
      <c r="V77" s="196">
        <v>5.4395536831442328E-3</v>
      </c>
      <c r="W77" s="196">
        <v>-0.13403238663146419</v>
      </c>
      <c r="X77" s="196">
        <v>-1.8448778761174164E-2</v>
      </c>
      <c r="Y77" s="196">
        <v>0.10248916784775937</v>
      </c>
      <c r="Z77" s="196">
        <v>6.3849350669795374E-4</v>
      </c>
      <c r="AA77" s="196">
        <v>5.2963046227899859</v>
      </c>
      <c r="AB77" s="196">
        <v>4.5422019054230177E-2</v>
      </c>
      <c r="AC77" s="196">
        <v>0.2739442271197603</v>
      </c>
      <c r="AD77" s="181" t="str">
        <f t="shared" si="1"/>
        <v>QX0026 root.dat</v>
      </c>
      <c r="AE77" s="6">
        <f t="shared" si="17"/>
        <v>35.922330097087425</v>
      </c>
      <c r="AF77" s="6" t="str">
        <f t="shared" si="2"/>
        <v>QX0226.dat</v>
      </c>
      <c r="AG77" s="6" cm="1">
        <f t="array" ref="AG77">IF(AD77=AF77,0,
  _xlfn.SWITCH(TRUE,
    $C77&lt;$H$7,  ($C77-$H$6)/($H$7-$H$6),
    $C77&lt;$H$8,  ($C77-$H$7)/($H$8-$H$7),
    $C77&lt;$H$9,  ($C77-$H$8)/($H$9-$H$8),
    $C77&lt;$H$10, ($C77-$H$9)/($H$10-$H$9),
    $C77&lt;$H$11, ($C77-$H$10)/($H$11-$H$10),
    $C77&lt;$H$12, ($C77-$H$11)/($H$12-$H$11),
    ($C77-$H$12)/($H$13-$H$12)
  )*100
)</f>
        <v>64.077669902912575</v>
      </c>
      <c r="AH77" s="6">
        <f t="shared" si="3"/>
        <v>0.36881398058252435</v>
      </c>
      <c r="AI77" s="6">
        <f t="shared" si="4"/>
        <v>-0.60174912621359233</v>
      </c>
      <c r="AJ77" s="6">
        <f t="shared" si="14"/>
        <v>3.9249999999999985</v>
      </c>
      <c r="AK77" s="6">
        <f t="shared" si="15"/>
        <v>0</v>
      </c>
      <c r="AL77" s="6">
        <f t="shared" si="5"/>
        <v>3.6943689320388344</v>
      </c>
      <c r="AM77" s="30">
        <f t="shared" si="6"/>
        <v>0</v>
      </c>
      <c r="AN77" s="198">
        <v>3.6532561382061091</v>
      </c>
      <c r="AO77" s="196">
        <v>2.441124723090828</v>
      </c>
      <c r="AP77" s="196">
        <v>3.9237789793986897</v>
      </c>
      <c r="AQ77" s="196">
        <v>8.7992540332394231E-2</v>
      </c>
      <c r="AR77" s="196">
        <v>8.4858226732920664E-2</v>
      </c>
      <c r="AS77" s="196">
        <v>-3.9134641594085147E-2</v>
      </c>
      <c r="AT77" s="196">
        <f t="shared" si="7"/>
        <v>0</v>
      </c>
      <c r="AU77" s="196">
        <f t="shared" si="8"/>
        <v>0</v>
      </c>
      <c r="AV77" s="196">
        <f t="shared" si="9"/>
        <v>0</v>
      </c>
      <c r="AW77" s="196">
        <f t="shared" si="18"/>
        <v>0</v>
      </c>
      <c r="AX77" s="198">
        <f t="shared" si="19"/>
        <v>0</v>
      </c>
      <c r="AY77" s="164"/>
      <c r="AZ77" s="23"/>
      <c r="BA77" s="23"/>
      <c r="BB77" s="23"/>
      <c r="BC77" s="23"/>
      <c r="BD77" s="23"/>
      <c r="BE77" s="23"/>
      <c r="BF77" s="23"/>
      <c r="BG77" s="23"/>
      <c r="BH77" s="23"/>
      <c r="BI77" s="23"/>
      <c r="BJ77" s="23"/>
      <c r="BK77" s="23"/>
      <c r="BL77" s="23"/>
      <c r="BM77" s="23"/>
      <c r="BN77" s="23"/>
    </row>
    <row r="78" spans="1:66">
      <c r="A78" s="23">
        <f t="shared" si="10"/>
        <v>0.13107583336708656</v>
      </c>
      <c r="B78" s="158">
        <v>27</v>
      </c>
      <c r="C78" s="6">
        <f t="shared" si="16"/>
        <v>4.0749999999999984</v>
      </c>
      <c r="D78" s="6">
        <f t="shared" si="11"/>
        <v>958.79611650485447</v>
      </c>
      <c r="E78" s="87">
        <v>0.15</v>
      </c>
      <c r="F78" s="87" t="str">
        <f t="shared" si="12"/>
        <v>1st</v>
      </c>
      <c r="G78" s="87" t="str" cm="1">
        <f t="array" ref="G78">_xlfn.SWITCH(TRUE,
  OR(C78=$F$46, C78=$G$46, C78=$H$46, C78=$I$46), "端リブ",
  C78&lt;$F$46, "0番",
  C78&lt;$G$46, "1番",
  C78&lt;$H$46, "2番",
  C78&lt;$I$46, "3番",
  C78&lt;$J$46, "4番",
  "ウィングレット"
)</f>
        <v>1番</v>
      </c>
      <c r="H78" s="229" t="s">
        <v>756</v>
      </c>
      <c r="I78" s="6">
        <f>'主翼(桁)'!F72*2</f>
        <v>110.67500000000003</v>
      </c>
      <c r="J78" s="6">
        <f>'主翼(桁)'!G72*2</f>
        <v>104.02455787476282</v>
      </c>
      <c r="K78" s="6">
        <f t="shared" si="0"/>
        <v>0.38</v>
      </c>
      <c r="L78" s="6">
        <f>'主翼(平面形結果)'!O235</f>
        <v>135.87837819197287</v>
      </c>
      <c r="M78" s="196">
        <f t="shared" si="13"/>
        <v>25.203378191972845</v>
      </c>
      <c r="N78" s="273">
        <v>4.8925223740919677</v>
      </c>
      <c r="O78" s="196">
        <v>486475.3361602212</v>
      </c>
      <c r="P78" s="196">
        <v>8.6060342353048398</v>
      </c>
      <c r="Q78" s="196">
        <v>0.10459738419622616</v>
      </c>
      <c r="R78" s="196">
        <v>-0.95170219978262993</v>
      </c>
      <c r="S78" s="196">
        <v>-0.13162233551547456</v>
      </c>
      <c r="T78" s="196">
        <v>1.158522681631172</v>
      </c>
      <c r="U78" s="196">
        <v>8.8839189047507632E-3</v>
      </c>
      <c r="V78" s="196">
        <v>5.1803949478000707E-3</v>
      </c>
      <c r="W78" s="196">
        <v>-0.13444648901259654</v>
      </c>
      <c r="X78" s="196">
        <v>-1.8594220849479356E-2</v>
      </c>
      <c r="Y78" s="196">
        <v>0.10230571275364359</v>
      </c>
      <c r="Z78" s="196">
        <v>6.5292324084773577E-4</v>
      </c>
      <c r="AA78" s="196">
        <v>5.2438617059220665</v>
      </c>
      <c r="AB78" s="196">
        <v>4.3192397049457557E-2</v>
      </c>
      <c r="AC78" s="196">
        <v>0.26049736907039384</v>
      </c>
      <c r="AD78" s="181" t="str">
        <f t="shared" si="1"/>
        <v>QX0026 root.dat</v>
      </c>
      <c r="AE78" s="6">
        <f t="shared" si="17"/>
        <v>30.097087378640836</v>
      </c>
      <c r="AF78" s="6" t="str">
        <f t="shared" si="2"/>
        <v>QX0226.dat</v>
      </c>
      <c r="AG78" s="6" cm="1">
        <f t="array" ref="AG78">IF(AD78=AF78,0,
  _xlfn.SWITCH(TRUE,
    $C78&lt;$H$7,  ($C78-$H$6)/($H$7-$H$6),
    $C78&lt;$H$8,  ($C78-$H$7)/($H$8-$H$7),
    $C78&lt;$H$9,  ($C78-$H$8)/($H$9-$H$8),
    $C78&lt;$H$10, ($C78-$H$9)/($H$10-$H$9),
    $C78&lt;$H$11, ($C78-$H$10)/($H$11-$H$10),
    $C78&lt;$H$12, ($C78-$H$11)/($H$12-$H$11),
    ($C78-$H$12)/($H$13-$H$12)
  )*100
)</f>
        <v>69.902912621359164</v>
      </c>
      <c r="AH78" s="6">
        <f t="shared" si="3"/>
        <v>0.36434252427184471</v>
      </c>
      <c r="AI78" s="6">
        <f t="shared" si="4"/>
        <v>-0.59445359223300964</v>
      </c>
      <c r="AJ78" s="6">
        <f t="shared" si="14"/>
        <v>4.0749999999999984</v>
      </c>
      <c r="AK78" s="6">
        <f t="shared" si="15"/>
        <v>0</v>
      </c>
      <c r="AL78" s="6">
        <f t="shared" si="5"/>
        <v>3.6920388349514557</v>
      </c>
      <c r="AM78" s="30">
        <f t="shared" si="6"/>
        <v>0</v>
      </c>
      <c r="AN78" s="198">
        <v>3.6492779209035051</v>
      </c>
      <c r="AO78" s="196">
        <v>2.5328392230516723</v>
      </c>
      <c r="AP78" s="196">
        <v>4.0736428567973206</v>
      </c>
      <c r="AQ78" s="196">
        <v>9.4381456597945002E-2</v>
      </c>
      <c r="AR78" s="196">
        <v>9.1128609802299684E-2</v>
      </c>
      <c r="AS78" s="196">
        <v>-4.0774010091382318E-2</v>
      </c>
      <c r="AT78" s="196">
        <f t="shared" si="7"/>
        <v>0</v>
      </c>
      <c r="AU78" s="196">
        <f t="shared" si="8"/>
        <v>0</v>
      </c>
      <c r="AV78" s="196">
        <f t="shared" si="9"/>
        <v>0</v>
      </c>
      <c r="AW78" s="196">
        <f t="shared" si="18"/>
        <v>0</v>
      </c>
      <c r="AX78" s="198">
        <f t="shared" si="19"/>
        <v>0</v>
      </c>
      <c r="AY78" s="164"/>
      <c r="AZ78" s="23"/>
      <c r="BA78" s="23"/>
      <c r="BB78" s="23"/>
      <c r="BC78" s="23"/>
      <c r="BD78" s="23"/>
      <c r="BE78" s="23"/>
      <c r="BF78" s="23"/>
      <c r="BG78" s="23"/>
      <c r="BH78" s="23"/>
      <c r="BI78" s="23"/>
      <c r="BJ78" s="23"/>
      <c r="BK78" s="23"/>
      <c r="BL78" s="23"/>
      <c r="BM78" s="23"/>
      <c r="BN78" s="23"/>
    </row>
    <row r="79" spans="1:66">
      <c r="A79" s="23">
        <f t="shared" si="10"/>
        <v>0.13100836975472444</v>
      </c>
      <c r="B79" s="100">
        <v>28</v>
      </c>
      <c r="C79" s="6">
        <f t="shared" si="16"/>
        <v>4.2249999999999988</v>
      </c>
      <c r="D79" s="6">
        <f t="shared" si="11"/>
        <v>947.02912621359235</v>
      </c>
      <c r="E79" s="87">
        <v>0.15</v>
      </c>
      <c r="F79" s="87" t="str">
        <f t="shared" si="12"/>
        <v>1st</v>
      </c>
      <c r="G79" s="87" t="str" cm="1">
        <f t="array" ref="G79">_xlfn.SWITCH(TRUE,
  OR(C79=$F$46, C79=$G$46, C79=$H$46, C79=$I$46), "端リブ",
  C79&lt;$F$46, "0番",
  C79&lt;$G$46, "1番",
  C79&lt;$H$46, "2番",
  C79&lt;$I$46, "3番",
  C79&lt;$J$46, "4番",
  "ウィングレット"
)</f>
        <v>1番</v>
      </c>
      <c r="H79" s="229" t="s">
        <v>756</v>
      </c>
      <c r="I79" s="6">
        <f>'主翼(桁)'!F73*2</f>
        <v>109.0687419354839</v>
      </c>
      <c r="J79" s="6">
        <f>'主翼(桁)'!G73*2</f>
        <v>102.500593866683</v>
      </c>
      <c r="K79" s="6">
        <f t="shared" si="0"/>
        <v>0.38</v>
      </c>
      <c r="L79" s="6">
        <f>'主翼(平面形結果)'!O236</f>
        <v>133.87809778504882</v>
      </c>
      <c r="M79" s="196">
        <f t="shared" si="13"/>
        <v>24.809355849564923</v>
      </c>
      <c r="N79" s="273">
        <v>4.9014940247030054</v>
      </c>
      <c r="O79" s="196">
        <v>480468.121616908</v>
      </c>
      <c r="P79" s="196">
        <v>8.518466421483522</v>
      </c>
      <c r="Q79" s="196">
        <v>0.10171544107873995</v>
      </c>
      <c r="R79" s="196">
        <v>-0.93112612264418493</v>
      </c>
      <c r="S79" s="196">
        <v>-0.12941437704635042</v>
      </c>
      <c r="T79" s="196">
        <v>1.1611558915967282</v>
      </c>
      <c r="U79" s="196">
        <v>8.9190551947976298E-3</v>
      </c>
      <c r="V79" s="196">
        <v>4.9295508306552672E-3</v>
      </c>
      <c r="W79" s="196">
        <v>-0.13485926694533801</v>
      </c>
      <c r="X79" s="196">
        <v>-1.8743677785665214E-2</v>
      </c>
      <c r="Y79" s="196">
        <v>0.10212705927852515</v>
      </c>
      <c r="Z79" s="196">
        <v>6.672935903893932E-4</v>
      </c>
      <c r="AA79" s="196">
        <v>5.1908797732341494</v>
      </c>
      <c r="AB79" s="196">
        <v>4.1044173523462436E-2</v>
      </c>
      <c r="AC79" s="196">
        <v>0.24754139836755229</v>
      </c>
      <c r="AD79" s="181" t="str">
        <f t="shared" si="1"/>
        <v>QX0026 root.dat</v>
      </c>
      <c r="AE79" s="6">
        <f t="shared" si="17"/>
        <v>24.271844660194205</v>
      </c>
      <c r="AF79" s="6" t="str">
        <f t="shared" si="2"/>
        <v>QX0226.dat</v>
      </c>
      <c r="AG79" s="6" cm="1">
        <f t="array" ref="AG79">IF(AD79=AF79,0,
  _xlfn.SWITCH(TRUE,
    $C79&lt;$H$7,  ($C79-$H$6)/($H$7-$H$6),
    $C79&lt;$H$8,  ($C79-$H$7)/($H$8-$H$7),
    $C79&lt;$H$9,  ($C79-$H$8)/($H$9-$H$8),
    $C79&lt;$H$10, ($C79-$H$9)/($H$10-$H$9),
    $C79&lt;$H$11, ($C79-$H$10)/($H$11-$H$10),
    $C79&lt;$H$12, ($C79-$H$11)/($H$12-$H$11),
    ($C79-$H$12)/($H$13-$H$12)
  )*100
)</f>
        <v>75.728155339805795</v>
      </c>
      <c r="AH79" s="6">
        <f t="shared" si="3"/>
        <v>0.35987106796116514</v>
      </c>
      <c r="AI79" s="6">
        <f t="shared" si="4"/>
        <v>-0.58715805825242717</v>
      </c>
      <c r="AJ79" s="6">
        <f t="shared" si="14"/>
        <v>4.2249999999999988</v>
      </c>
      <c r="AK79" s="6">
        <f t="shared" si="15"/>
        <v>0</v>
      </c>
      <c r="AL79" s="6">
        <f t="shared" si="5"/>
        <v>3.6897087378640774</v>
      </c>
      <c r="AM79" s="30">
        <f t="shared" si="6"/>
        <v>0</v>
      </c>
      <c r="AN79" s="198">
        <v>3.6452818466930941</v>
      </c>
      <c r="AO79" s="196">
        <v>2.6247983252033702</v>
      </c>
      <c r="AP79" s="196">
        <v>4.2234963153358951</v>
      </c>
      <c r="AQ79" s="196">
        <v>0.10101025468112841</v>
      </c>
      <c r="AR79" s="196">
        <v>9.7638762087241301E-2</v>
      </c>
      <c r="AS79" s="196">
        <v>-4.2431174730157575E-2</v>
      </c>
      <c r="AT79" s="196">
        <f t="shared" si="7"/>
        <v>0</v>
      </c>
      <c r="AU79" s="196">
        <f t="shared" si="8"/>
        <v>0</v>
      </c>
      <c r="AV79" s="196">
        <f t="shared" si="9"/>
        <v>0</v>
      </c>
      <c r="AW79" s="196">
        <f t="shared" si="18"/>
        <v>0</v>
      </c>
      <c r="AX79" s="198">
        <f t="shared" si="19"/>
        <v>0</v>
      </c>
      <c r="AY79" s="164"/>
      <c r="AZ79" s="23"/>
      <c r="BA79" s="23"/>
      <c r="BB79" s="23"/>
      <c r="BC79" s="23"/>
      <c r="BD79" s="23"/>
      <c r="BE79" s="23"/>
      <c r="BF79" s="23"/>
      <c r="BG79" s="23"/>
      <c r="BH79" s="23"/>
      <c r="BI79" s="23"/>
      <c r="BJ79" s="23"/>
      <c r="BK79" s="23"/>
      <c r="BL79" s="23"/>
      <c r="BM79" s="23"/>
      <c r="BN79" s="23"/>
    </row>
    <row r="80" spans="1:66">
      <c r="A80" s="23">
        <f t="shared" si="10"/>
        <v>0.13093920855696631</v>
      </c>
      <c r="B80" s="158">
        <v>29</v>
      </c>
      <c r="C80" s="6">
        <f t="shared" si="16"/>
        <v>4.3749999999999991</v>
      </c>
      <c r="D80" s="6">
        <f t="shared" si="11"/>
        <v>935.26213592233023</v>
      </c>
      <c r="E80" s="87">
        <v>0.15</v>
      </c>
      <c r="F80" s="87" t="str">
        <f t="shared" si="12"/>
        <v>1st</v>
      </c>
      <c r="G80" s="87" t="str" cm="1">
        <f t="array" ref="G80">_xlfn.SWITCH(TRUE,
  OR(C80=$F$46, C80=$G$46, C80=$H$46, C80=$I$46), "端リブ",
  C80&lt;$F$46, "0番",
  C80&lt;$G$46, "1番",
  C80&lt;$H$46, "2番",
  C80&lt;$I$46, "3番",
  C80&lt;$J$46, "4番",
  "ウィングレット"
)</f>
        <v>1番</v>
      </c>
      <c r="H80" s="229" t="s">
        <v>756</v>
      </c>
      <c r="I80" s="6">
        <f>'主翼(桁)'!F74*2</f>
        <v>107.46248387096776</v>
      </c>
      <c r="J80" s="6">
        <f>'主翼(桁)'!G74*2</f>
        <v>100.97662985860318</v>
      </c>
      <c r="K80" s="6">
        <f t="shared" si="0"/>
        <v>0.38</v>
      </c>
      <c r="L80" s="6">
        <f>'主翼(平面形結果)'!O237</f>
        <v>131.88608482330719</v>
      </c>
      <c r="M80" s="196">
        <f t="shared" si="13"/>
        <v>24.423600952339427</v>
      </c>
      <c r="N80" s="273">
        <v>4.9100442440774037</v>
      </c>
      <c r="O80" s="196">
        <v>474460.90707359486</v>
      </c>
      <c r="P80" s="196">
        <v>8.4300751992621201</v>
      </c>
      <c r="Q80" s="196">
        <v>9.8924577413057227E-2</v>
      </c>
      <c r="R80" s="196">
        <v>-0.91068981510354252</v>
      </c>
      <c r="S80" s="196">
        <v>-0.12721663206998376</v>
      </c>
      <c r="T80" s="196">
        <v>1.1637436150512943</v>
      </c>
      <c r="U80" s="196">
        <v>8.9544769153229037E-3</v>
      </c>
      <c r="V80" s="196">
        <v>4.6853658924734774E-3</v>
      </c>
      <c r="W80" s="196">
        <v>-0.13527067429614831</v>
      </c>
      <c r="X80" s="196">
        <v>-1.8896312791018902E-2</v>
      </c>
      <c r="Y80" s="196">
        <v>0.10195255699271447</v>
      </c>
      <c r="Z80" s="196">
        <v>6.8162597477518141E-4</v>
      </c>
      <c r="AA80" s="196">
        <v>5.1374026810524374</v>
      </c>
      <c r="AB80" s="196">
        <v>3.8957492964140548E-2</v>
      </c>
      <c r="AC80" s="196">
        <v>0.23495657003890413</v>
      </c>
      <c r="AD80" s="181" t="str">
        <f t="shared" si="1"/>
        <v>QX0026 root.dat</v>
      </c>
      <c r="AE80" s="6">
        <f t="shared" si="17"/>
        <v>18.446601941747602</v>
      </c>
      <c r="AF80" s="6" t="str">
        <f t="shared" si="2"/>
        <v>QX0226.dat</v>
      </c>
      <c r="AG80" s="6" cm="1">
        <f t="array" ref="AG80">IF(AD80=AF80,0,
  _xlfn.SWITCH(TRUE,
    $C80&lt;$H$7,  ($C80-$H$6)/($H$7-$H$6),
    $C80&lt;$H$8,  ($C80-$H$7)/($H$8-$H$7),
    $C80&lt;$H$9,  ($C80-$H$8)/($H$9-$H$8),
    $C80&lt;$H$10, ($C80-$H$9)/($H$10-$H$9),
    $C80&lt;$H$11, ($C80-$H$10)/($H$11-$H$10),
    $C80&lt;$H$12, ($C80-$H$11)/($H$12-$H$11),
    ($C80-$H$12)/($H$13-$H$12)
  )*100
)</f>
        <v>81.553398058252398</v>
      </c>
      <c r="AH80" s="6">
        <f t="shared" si="3"/>
        <v>0.3553996116504855</v>
      </c>
      <c r="AI80" s="6">
        <f t="shared" si="4"/>
        <v>-0.5798625242718447</v>
      </c>
      <c r="AJ80" s="6">
        <f t="shared" si="14"/>
        <v>4.3749999999999991</v>
      </c>
      <c r="AK80" s="6">
        <f t="shared" si="15"/>
        <v>0</v>
      </c>
      <c r="AL80" s="6">
        <f t="shared" si="5"/>
        <v>3.6873786407766986</v>
      </c>
      <c r="AM80" s="30">
        <f t="shared" si="6"/>
        <v>0</v>
      </c>
      <c r="AN80" s="198">
        <v>3.6412678114921899</v>
      </c>
      <c r="AO80" s="196">
        <v>2.7170068452938221</v>
      </c>
      <c r="AP80" s="196">
        <v>4.3733389417198367</v>
      </c>
      <c r="AQ80" s="196">
        <v>0.10787955729220386</v>
      </c>
      <c r="AR80" s="196">
        <v>0.1043893179848662</v>
      </c>
      <c r="AS80" s="196">
        <v>-4.4106242869611054E-2</v>
      </c>
      <c r="AT80" s="196">
        <f t="shared" si="7"/>
        <v>0</v>
      </c>
      <c r="AU80" s="196">
        <f t="shared" si="8"/>
        <v>0</v>
      </c>
      <c r="AV80" s="196">
        <f t="shared" si="9"/>
        <v>0</v>
      </c>
      <c r="AW80" s="196">
        <f t="shared" si="18"/>
        <v>0</v>
      </c>
      <c r="AX80" s="198">
        <f t="shared" si="19"/>
        <v>0</v>
      </c>
      <c r="AY80" s="164"/>
      <c r="AZ80" s="23"/>
      <c r="BA80" s="23"/>
      <c r="BB80" s="23"/>
      <c r="BC80" s="23"/>
      <c r="BD80" s="23"/>
      <c r="BE80" s="23"/>
      <c r="BF80" s="23"/>
      <c r="BG80" s="23"/>
      <c r="BH80" s="23"/>
      <c r="BI80" s="23"/>
      <c r="BJ80" s="23"/>
      <c r="BK80" s="23"/>
      <c r="BL80" s="23"/>
      <c r="BM80" s="23"/>
      <c r="BN80" s="23"/>
    </row>
    <row r="81" spans="1:66">
      <c r="A81" s="23">
        <f t="shared" si="10"/>
        <v>0.13086828488293226</v>
      </c>
      <c r="B81" s="100">
        <v>30</v>
      </c>
      <c r="C81" s="6">
        <f t="shared" si="16"/>
        <v>4.5249999999999995</v>
      </c>
      <c r="D81" s="6">
        <f t="shared" si="11"/>
        <v>923.495145631068</v>
      </c>
      <c r="E81" s="87">
        <v>0.15</v>
      </c>
      <c r="F81" s="87" t="str">
        <f t="shared" si="12"/>
        <v>1st</v>
      </c>
      <c r="G81" s="87" t="str" cm="1">
        <f t="array" ref="G81">_xlfn.SWITCH(TRUE,
  OR(C81=$F$46, C81=$G$46, C81=$H$46, C81=$I$46), "端リブ",
  C81&lt;$F$46, "0番",
  C81&lt;$G$46, "1番",
  C81&lt;$H$46, "2番",
  C81&lt;$I$46, "3番",
  C81&lt;$J$46, "4番",
  "ウィングレット"
)</f>
        <v>1番</v>
      </c>
      <c r="H81" s="229" t="s">
        <v>756</v>
      </c>
      <c r="I81" s="6">
        <f>'主翼(桁)'!F75*2</f>
        <v>105.85622580645162</v>
      </c>
      <c r="J81" s="6">
        <f>'主翼(桁)'!G75*2</f>
        <v>99.452665850523346</v>
      </c>
      <c r="K81" s="6">
        <f t="shared" si="0"/>
        <v>0.38</v>
      </c>
      <c r="L81" s="6">
        <f>'主翼(平面形結果)'!O238</f>
        <v>129.9023393067479</v>
      </c>
      <c r="M81" s="196">
        <f t="shared" si="13"/>
        <v>24.046113500296286</v>
      </c>
      <c r="N81" s="273">
        <v>4.9178299881013805</v>
      </c>
      <c r="O81" s="196">
        <v>468453.69253028167</v>
      </c>
      <c r="P81" s="196">
        <v>8.3406257373948538</v>
      </c>
      <c r="Q81" s="196">
        <v>9.6270829959301932E-2</v>
      </c>
      <c r="R81" s="196">
        <v>-0.89040195589783566</v>
      </c>
      <c r="S81" s="196">
        <v>-0.12505642100061509</v>
      </c>
      <c r="T81" s="196">
        <v>1.1662511649861407</v>
      </c>
      <c r="U81" s="196">
        <v>8.9899532490173503E-3</v>
      </c>
      <c r="V81" s="196">
        <v>4.4550522804127496E-3</v>
      </c>
      <c r="W81" s="196">
        <v>-0.13568150214807767</v>
      </c>
      <c r="X81" s="196">
        <v>-1.9056385649463631E-2</v>
      </c>
      <c r="Y81" s="196">
        <v>0.10178506539451339</v>
      </c>
      <c r="Z81" s="196">
        <v>6.9579112079429695E-4</v>
      </c>
      <c r="AA81" s="196">
        <v>5.0832868678216077</v>
      </c>
      <c r="AB81" s="196">
        <v>3.6998782073158612E-2</v>
      </c>
      <c r="AC81" s="196">
        <v>0.22314350967865393</v>
      </c>
      <c r="AD81" s="181" t="str">
        <f t="shared" si="1"/>
        <v>QX0026 root.dat</v>
      </c>
      <c r="AE81" s="6">
        <f t="shared" si="17"/>
        <v>12.621359223300971</v>
      </c>
      <c r="AF81" s="6" t="str">
        <f t="shared" si="2"/>
        <v>QX0226.dat</v>
      </c>
      <c r="AG81" s="6" cm="1">
        <f t="array" ref="AG81">IF(AD81=AF81,0,
  _xlfn.SWITCH(TRUE,
    $C81&lt;$H$7,  ($C81-$H$6)/($H$7-$H$6),
    $C81&lt;$H$8,  ($C81-$H$7)/($H$8-$H$7),
    $C81&lt;$H$9,  ($C81-$H$8)/($H$9-$H$8),
    $C81&lt;$H$10, ($C81-$H$9)/($H$10-$H$9),
    $C81&lt;$H$11, ($C81-$H$10)/($H$11-$H$10),
    $C81&lt;$H$12, ($C81-$H$11)/($H$12-$H$11),
    ($C81-$H$12)/($H$13-$H$12)
  )*100
)</f>
        <v>87.378640776699029</v>
      </c>
      <c r="AH81" s="6">
        <f t="shared" si="3"/>
        <v>0.35092815533980587</v>
      </c>
      <c r="AI81" s="6">
        <f t="shared" si="4"/>
        <v>-0.57256699029126223</v>
      </c>
      <c r="AJ81" s="6">
        <f t="shared" si="14"/>
        <v>4.5249999999999995</v>
      </c>
      <c r="AK81" s="6">
        <f t="shared" si="15"/>
        <v>0</v>
      </c>
      <c r="AL81" s="6">
        <f t="shared" si="5"/>
        <v>3.6850485436893199</v>
      </c>
      <c r="AM81" s="30">
        <f t="shared" si="6"/>
        <v>0</v>
      </c>
      <c r="AN81" s="198">
        <v>3.6372357240209561</v>
      </c>
      <c r="AO81" s="196">
        <v>2.8094673330191533</v>
      </c>
      <c r="AP81" s="196">
        <v>4.5231703190046133</v>
      </c>
      <c r="AQ81" s="196">
        <v>0.11498999897658171</v>
      </c>
      <c r="AR81" s="196">
        <v>0.11138092373752449</v>
      </c>
      <c r="AS81" s="196">
        <v>-4.5799315009423421E-2</v>
      </c>
      <c r="AT81" s="196">
        <f t="shared" si="7"/>
        <v>0</v>
      </c>
      <c r="AU81" s="196">
        <f t="shared" si="8"/>
        <v>0</v>
      </c>
      <c r="AV81" s="196">
        <f t="shared" si="9"/>
        <v>0</v>
      </c>
      <c r="AW81" s="196">
        <f t="shared" si="18"/>
        <v>0</v>
      </c>
      <c r="AX81" s="198">
        <f t="shared" si="19"/>
        <v>0</v>
      </c>
      <c r="AY81" s="164"/>
      <c r="AZ81" s="23"/>
      <c r="BA81" s="23"/>
      <c r="BB81" s="23"/>
      <c r="BC81" s="23"/>
      <c r="BD81" s="23"/>
      <c r="BE81" s="23"/>
      <c r="BF81" s="23"/>
      <c r="BG81" s="23"/>
      <c r="BH81" s="23"/>
      <c r="BI81" s="23"/>
      <c r="BJ81" s="23"/>
      <c r="BK81" s="23"/>
      <c r="BL81" s="23"/>
      <c r="BM81" s="23"/>
      <c r="BN81" s="23"/>
    </row>
    <row r="82" spans="1:66">
      <c r="A82" s="23">
        <f t="shared" si="10"/>
        <v>0.13079553049175102</v>
      </c>
      <c r="B82" s="158">
        <v>31</v>
      </c>
      <c r="C82" s="6">
        <f t="shared" si="16"/>
        <v>4.6749999999999998</v>
      </c>
      <c r="D82" s="6">
        <f t="shared" si="11"/>
        <v>911.72815533980588</v>
      </c>
      <c r="E82" s="87">
        <v>0.17499999999999999</v>
      </c>
      <c r="F82" s="87" t="str">
        <f t="shared" si="12"/>
        <v>1st</v>
      </c>
      <c r="G82" s="87" t="str" cm="1">
        <f t="array" ref="G82">_xlfn.SWITCH(TRUE,
  OR(C82=$F$46, C82=$G$46, C82=$H$46, C82=$I$46), "端リブ",
  C82&lt;$F$46, "0番",
  C82&lt;$G$46, "1番",
  C82&lt;$H$46, "2番",
  C82&lt;$I$46, "3番",
  C82&lt;$J$46, "4番",
  "ウィングレット"
)</f>
        <v>1番</v>
      </c>
      <c r="H82" s="229" t="s">
        <v>756</v>
      </c>
      <c r="I82" s="6">
        <f>'主翼(桁)'!F76*2</f>
        <v>104.24996774193549</v>
      </c>
      <c r="J82" s="6">
        <f>'主翼(桁)'!G76*2</f>
        <v>97.92870184244353</v>
      </c>
      <c r="K82" s="6">
        <f t="shared" si="0"/>
        <v>0.38</v>
      </c>
      <c r="L82" s="6">
        <f>'主翼(平面形結果)'!O239</f>
        <v>127.92686123537104</v>
      </c>
      <c r="M82" s="196">
        <f t="shared" si="13"/>
        <v>23.676893493435543</v>
      </c>
      <c r="N82" s="273">
        <v>4.9293665587807878</v>
      </c>
      <c r="O82" s="196">
        <v>461945.87677502568</v>
      </c>
      <c r="P82" s="196">
        <v>9.6196423462792069</v>
      </c>
      <c r="Q82" s="196">
        <v>0.10852369668988268</v>
      </c>
      <c r="R82" s="196">
        <v>-1.0133011828795213</v>
      </c>
      <c r="S82" s="196">
        <v>-0.14285430296149382</v>
      </c>
      <c r="T82" s="196">
        <v>1.1692804511262986</v>
      </c>
      <c r="U82" s="196">
        <v>9.0312629662456703E-3</v>
      </c>
      <c r="V82" s="196">
        <v>4.1435461791579772E-3</v>
      </c>
      <c r="W82" s="196">
        <v>-0.13611781391596897</v>
      </c>
      <c r="X82" s="196">
        <v>-1.9189768803339127E-2</v>
      </c>
      <c r="Y82" s="196">
        <v>0.10157828644786411</v>
      </c>
      <c r="Z82" s="196">
        <v>7.1240289640409342E-4</v>
      </c>
      <c r="AA82" s="196">
        <v>5.0256894154927698</v>
      </c>
      <c r="AB82" s="196">
        <v>3.4372735554624355E-2</v>
      </c>
      <c r="AC82" s="196">
        <v>0.20730569301524357</v>
      </c>
      <c r="AD82" s="181" t="str">
        <f t="shared" si="1"/>
        <v>QX0026 root.dat</v>
      </c>
      <c r="AE82" s="6">
        <f t="shared" si="17"/>
        <v>6.7961165048543677</v>
      </c>
      <c r="AF82" s="6" t="str">
        <f t="shared" si="2"/>
        <v>QX0226.dat</v>
      </c>
      <c r="AG82" s="6" cm="1">
        <f t="array" ref="AG82">IF(AD82=AF82,0,
  _xlfn.SWITCH(TRUE,
    $C82&lt;$H$7,  ($C82-$H$6)/($H$7-$H$6),
    $C82&lt;$H$8,  ($C82-$H$7)/($H$8-$H$7),
    $C82&lt;$H$9,  ($C82-$H$8)/($H$9-$H$8),
    $C82&lt;$H$10, ($C82-$H$9)/($H$10-$H$9),
    $C82&lt;$H$11, ($C82-$H$10)/($H$11-$H$10),
    $C82&lt;$H$12, ($C82-$H$11)/($H$12-$H$11),
    ($C82-$H$12)/($H$13-$H$12)
  )*100
)</f>
        <v>93.203883495145632</v>
      </c>
      <c r="AH82" s="6">
        <f t="shared" si="3"/>
        <v>0.34645669902912624</v>
      </c>
      <c r="AI82" s="6">
        <f t="shared" si="4"/>
        <v>-0.56527145631067965</v>
      </c>
      <c r="AJ82" s="6">
        <f t="shared" si="14"/>
        <v>4.6749999999999998</v>
      </c>
      <c r="AK82" s="6">
        <f t="shared" si="15"/>
        <v>0</v>
      </c>
      <c r="AL82" s="6">
        <f t="shared" si="5"/>
        <v>3.6827184466019411</v>
      </c>
      <c r="AM82" s="30">
        <f t="shared" si="6"/>
        <v>0</v>
      </c>
      <c r="AN82" s="198">
        <v>3.6329437664555706</v>
      </c>
      <c r="AO82" s="196">
        <v>2.90859609481614</v>
      </c>
      <c r="AP82" s="196">
        <v>4.6729900267984998</v>
      </c>
      <c r="AQ82" s="196">
        <v>0.122342220175278</v>
      </c>
      <c r="AR82" s="196">
        <v>0.11861423895484417</v>
      </c>
      <c r="AS82" s="196">
        <v>-4.7510472835422882E-2</v>
      </c>
      <c r="AT82" s="196">
        <f t="shared" si="7"/>
        <v>0</v>
      </c>
      <c r="AU82" s="196">
        <f t="shared" si="8"/>
        <v>0</v>
      </c>
      <c r="AV82" s="196">
        <f t="shared" si="9"/>
        <v>0</v>
      </c>
      <c r="AW82" s="196">
        <f t="shared" si="18"/>
        <v>0</v>
      </c>
      <c r="AX82" s="198">
        <f t="shared" si="19"/>
        <v>0</v>
      </c>
      <c r="AY82" s="164"/>
      <c r="AZ82" s="23"/>
      <c r="BA82" s="23"/>
      <c r="BB82" s="23"/>
      <c r="BC82" s="23"/>
      <c r="BD82" s="23"/>
      <c r="BE82" s="23"/>
      <c r="BF82" s="23"/>
      <c r="BG82" s="23"/>
      <c r="BH82" s="23"/>
      <c r="BI82" s="23"/>
      <c r="BJ82" s="23"/>
      <c r="BK82" s="23"/>
      <c r="BL82" s="23"/>
      <c r="BM82" s="23"/>
      <c r="BN82" s="23"/>
    </row>
    <row r="83" spans="1:66">
      <c r="A83" s="23">
        <f t="shared" si="10"/>
        <v>0.13070824053452115</v>
      </c>
      <c r="B83" s="100">
        <v>32</v>
      </c>
      <c r="C83" s="6">
        <f t="shared" si="16"/>
        <v>4.8499999999999996</v>
      </c>
      <c r="D83" s="6">
        <f t="shared" si="11"/>
        <v>898</v>
      </c>
      <c r="E83" s="87">
        <v>0.2</v>
      </c>
      <c r="F83" s="87" t="str">
        <f t="shared" si="12"/>
        <v>2nd</v>
      </c>
      <c r="G83" s="87" t="str" cm="1">
        <f t="array" ref="G83">_xlfn.SWITCH(TRUE,
  OR(C83=$F$46, C83=$G$46, C83=$H$46, C83=$I$46), "端リブ",
  C83&lt;$F$46, "0番",
  C83&lt;$G$46, "1番",
  C83&lt;$H$46, "2番",
  C83&lt;$I$46, "3番",
  C83&lt;$J$46, "4番",
  "ウィングレット"
)</f>
        <v>端リブ</v>
      </c>
      <c r="H83" s="229" t="s">
        <v>756</v>
      </c>
      <c r="I83" s="6">
        <f>'主翼(桁)'!F77*2</f>
        <v>102.376</v>
      </c>
      <c r="J83" s="6">
        <f>'主翼(桁)'!G77*2</f>
        <v>96.323742911153118</v>
      </c>
      <c r="K83" s="6">
        <f t="shared" si="0"/>
        <v>0.38</v>
      </c>
      <c r="L83" s="6">
        <f>'主翼(平面形結果)'!O240</f>
        <v>125.63258595087018</v>
      </c>
      <c r="M83" s="196">
        <f t="shared" si="13"/>
        <v>23.256585950870175</v>
      </c>
      <c r="N83" s="273">
        <v>4.9360539934451468</v>
      </c>
      <c r="O83" s="196">
        <v>455545.66099223768</v>
      </c>
      <c r="P83" s="196">
        <v>10.856031115314627</v>
      </c>
      <c r="Q83" s="196">
        <v>0.12082977212198555</v>
      </c>
      <c r="R83" s="196">
        <v>-1.1278029205492996</v>
      </c>
      <c r="S83" s="196">
        <v>-0.15908965677218856</v>
      </c>
      <c r="T83" s="196">
        <v>1.1709583337358398</v>
      </c>
      <c r="U83" s="196">
        <v>9.0691442090528873E-3</v>
      </c>
      <c r="V83" s="196">
        <v>3.9475049972070341E-3</v>
      </c>
      <c r="W83" s="196">
        <v>-0.13632622552102036</v>
      </c>
      <c r="X83" s="196">
        <v>-1.9230392147436409E-2</v>
      </c>
      <c r="Y83" s="196">
        <v>0.10146329603706486</v>
      </c>
      <c r="Z83" s="196">
        <v>7.2306880516447057E-4</v>
      </c>
      <c r="AA83" s="196">
        <v>4.9631707679939243</v>
      </c>
      <c r="AB83" s="196">
        <v>3.2730205710107436E-2</v>
      </c>
      <c r="AC83" s="196">
        <v>0.19739949788393257</v>
      </c>
      <c r="AD83" s="181" t="str">
        <f t="shared" si="1"/>
        <v>QX0226.dat</v>
      </c>
      <c r="AE83" s="6">
        <f t="shared" si="17"/>
        <v>100</v>
      </c>
      <c r="AF83" s="6" t="str">
        <f t="shared" si="2"/>
        <v>QX0226.dat</v>
      </c>
      <c r="AG83" s="6" cm="1">
        <f t="array" ref="AG83">IF(AD83=AF83,0,
  _xlfn.SWITCH(TRUE,
    $C83&lt;$H$7,  ($C83-$H$6)/($H$7-$H$6),
    $C83&lt;$H$8,  ($C83-$H$7)/($H$8-$H$7),
    $C83&lt;$H$9,  ($C83-$H$8)/($H$9-$H$8),
    $C83&lt;$H$10, ($C83-$H$9)/($H$10-$H$9),
    $C83&lt;$H$11, ($C83-$H$10)/($H$11-$H$10),
    $C83&lt;$H$12, ($C83-$H$11)/($H$12-$H$11),
    ($C83-$H$12)/($H$13-$H$12)
  )*100
)</f>
        <v>0</v>
      </c>
      <c r="AH83" s="6">
        <f t="shared" ref="AH83:AH114" si="20">D83*K83/1000</f>
        <v>0.34123999999999999</v>
      </c>
      <c r="AI83" s="6">
        <f t="shared" ref="AI83:AI114" si="21">AH83-D83/1000</f>
        <v>-0.55676000000000003</v>
      </c>
      <c r="AJ83" s="6">
        <f t="shared" ref="AJ83:AJ114" si="22">AJ82+E82*COS(RADIANS(AM82))</f>
        <v>4.8499999999999996</v>
      </c>
      <c r="AK83" s="6">
        <f t="shared" ref="AK83:AK114" si="23">AK82+E82*SIN(RADIANS(AM82))</f>
        <v>0</v>
      </c>
      <c r="AL83" s="6">
        <f t="shared" si="5"/>
        <v>3.6799999999999997</v>
      </c>
      <c r="AM83" s="30">
        <f t="shared" si="6"/>
        <v>0</v>
      </c>
      <c r="AN83" s="198">
        <v>3.6297380745801466</v>
      </c>
      <c r="AO83" s="196">
        <v>3.0190955549706144</v>
      </c>
      <c r="AP83" s="196">
        <v>4.8477645840070345</v>
      </c>
      <c r="AQ83" s="196">
        <v>0.13122220624286418</v>
      </c>
      <c r="AR83" s="196">
        <v>0.1273358706053046</v>
      </c>
      <c r="AS83" s="196">
        <v>-4.933492505655742E-2</v>
      </c>
      <c r="AT83" s="196">
        <f t="shared" ref="AT83:AT114" si="24">$AY$45*(D83/10^3)^2</f>
        <v>0</v>
      </c>
      <c r="AU83" s="196">
        <f t="shared" ref="AU83:AU114" si="25">D83*$AZ$45/10^3</f>
        <v>0</v>
      </c>
      <c r="AV83" s="196">
        <f t="shared" si="9"/>
        <v>0</v>
      </c>
      <c r="AW83" s="196">
        <f t="shared" si="18"/>
        <v>0</v>
      </c>
      <c r="AX83" s="198">
        <f t="shared" si="19"/>
        <v>0</v>
      </c>
      <c r="AY83" s="164"/>
      <c r="AZ83" s="23"/>
      <c r="BA83" s="23"/>
      <c r="BB83" s="23"/>
      <c r="BC83" s="23"/>
      <c r="BD83" s="23"/>
      <c r="BE83" s="23"/>
      <c r="BF83" s="23"/>
      <c r="BG83" s="23"/>
      <c r="BH83" s="23"/>
      <c r="BI83" s="23"/>
      <c r="BJ83" s="23"/>
      <c r="BK83" s="23"/>
      <c r="BL83" s="23"/>
      <c r="BM83" s="23"/>
      <c r="BN83" s="23"/>
    </row>
    <row r="84" spans="1:66">
      <c r="A84" s="23">
        <f t="shared" si="10"/>
        <v>0.13027396136652589</v>
      </c>
      <c r="B84" s="158">
        <v>33</v>
      </c>
      <c r="C84" s="6">
        <f t="shared" ref="C84:C115" si="26">C83+E83</f>
        <v>5.05</v>
      </c>
      <c r="D84" s="6">
        <f t="shared" si="11"/>
        <v>886.65454545454543</v>
      </c>
      <c r="E84" s="87">
        <v>0.15</v>
      </c>
      <c r="F84" s="87" t="str">
        <f t="shared" ref="F84:F115" si="27">IF(C84&lt;$H$7,"flat",IF(C84&lt;$H$8,"1st",IF(C84&lt;$H$9,"2nd",IF(C84&lt;$H$10,"3rd",IF(C84&lt;$H$11,"4th",IF(C84&lt;$H$12,"5th","6th"))))))</f>
        <v>2nd</v>
      </c>
      <c r="G84" s="87" t="str" cm="1">
        <f t="array" ref="G84">_xlfn.SWITCH(TRUE,
  OR(C84=$F$46, C84=$G$46, C84=$H$46, C84=$I$46), "端リブ",
  C84&lt;$F$46, "0番",
  C84&lt;$G$46, "1番",
  C84&lt;$H$46, "2番",
  C84&lt;$I$46, "3番",
  C84&lt;$J$46, "4番",
  "ウィングレット"
)</f>
        <v>2番</v>
      </c>
      <c r="H84" s="229" t="s">
        <v>756</v>
      </c>
      <c r="I84" s="6">
        <f>'主翼(桁)'!F78*2</f>
        <v>100.50800000000001</v>
      </c>
      <c r="J84" s="6">
        <f>'主翼(桁)'!G78*2</f>
        <v>94.603516068052926</v>
      </c>
      <c r="K84" s="6">
        <f t="shared" si="0"/>
        <v>0.38</v>
      </c>
      <c r="L84" s="6">
        <f>'主翼(平面形結果)'!O241</f>
        <v>124.04532671553218</v>
      </c>
      <c r="M84" s="196">
        <f t="shared" si="13"/>
        <v>23.537326715532174</v>
      </c>
      <c r="N84" s="273">
        <v>4.930841614783982</v>
      </c>
      <c r="O84" s="196">
        <v>450477.64821865771</v>
      </c>
      <c r="P84" s="196">
        <v>8.0470238795425271</v>
      </c>
      <c r="Q84" s="196">
        <v>9.02502856089476E-2</v>
      </c>
      <c r="R84" s="196">
        <v>-0.82686263108919744</v>
      </c>
      <c r="S84" s="196">
        <v>-0.11679324395836493</v>
      </c>
      <c r="T84" s="196">
        <v>1.1704293549963103</v>
      </c>
      <c r="U84" s="196">
        <v>9.0920252069629226E-3</v>
      </c>
      <c r="V84" s="196">
        <v>4.0185520902177767E-3</v>
      </c>
      <c r="W84" s="196">
        <v>-0.13629432750041426</v>
      </c>
      <c r="X84" s="196">
        <v>-1.9251392000783255E-2</v>
      </c>
      <c r="Y84" s="196">
        <v>0.1015068774948214</v>
      </c>
      <c r="Z84" s="196">
        <v>7.2372091198293076E-4</v>
      </c>
      <c r="AA84" s="196">
        <v>4.9057375985315357</v>
      </c>
      <c r="AB84" s="196">
        <v>3.3311782201867542E-2</v>
      </c>
      <c r="AC84" s="196">
        <v>0.20090702165727362</v>
      </c>
      <c r="AD84" s="181" t="str">
        <f t="shared" si="1"/>
        <v>QX0226.dat</v>
      </c>
      <c r="AE84" s="6">
        <f t="shared" si="17"/>
        <v>100</v>
      </c>
      <c r="AF84" s="6" t="str">
        <f t="shared" si="2"/>
        <v>QX0226.dat</v>
      </c>
      <c r="AG84" s="6" cm="1">
        <f t="array" ref="AG84">IF(AD84=AF84,0,
  _xlfn.SWITCH(TRUE,
    $C84&lt;$H$7,  ($C84-$H$6)/($H$7-$H$6),
    $C84&lt;$H$8,  ($C84-$H$7)/($H$8-$H$7),
    $C84&lt;$H$9,  ($C84-$H$8)/($H$9-$H$8),
    $C84&lt;$H$10, ($C84-$H$9)/($H$10-$H$9),
    $C84&lt;$H$11, ($C84-$H$10)/($H$11-$H$10),
    $C84&lt;$H$12, ($C84-$H$11)/($H$12-$H$11),
    ($C84-$H$12)/($H$13-$H$12)
  )*100
)</f>
        <v>0</v>
      </c>
      <c r="AH84" s="6">
        <f t="shared" si="20"/>
        <v>0.33692872727272727</v>
      </c>
      <c r="AI84" s="6">
        <f t="shared" si="21"/>
        <v>-0.5497258181818182</v>
      </c>
      <c r="AJ84" s="6">
        <f t="shared" si="22"/>
        <v>5.05</v>
      </c>
      <c r="AK84" s="6">
        <f t="shared" si="23"/>
        <v>0</v>
      </c>
      <c r="AL84" s="6">
        <f t="shared" si="5"/>
        <v>3.6799999999999997</v>
      </c>
      <c r="AM84" s="30">
        <f t="shared" si="6"/>
        <v>0</v>
      </c>
      <c r="AN84" s="198">
        <v>3.6280604824346825</v>
      </c>
      <c r="AO84" s="196">
        <v>3.1227444596245966</v>
      </c>
      <c r="AP84" s="196">
        <v>5.0474869913569504</v>
      </c>
      <c r="AQ84" s="196">
        <v>0.14175596162042614</v>
      </c>
      <c r="AR84" s="196">
        <v>0.13767227808964413</v>
      </c>
      <c r="AS84" s="196">
        <v>-5.1203635124090263E-2</v>
      </c>
      <c r="AT84" s="196">
        <f t="shared" si="24"/>
        <v>0</v>
      </c>
      <c r="AU84" s="196">
        <f t="shared" si="25"/>
        <v>0</v>
      </c>
      <c r="AV84" s="196">
        <f t="shared" si="9"/>
        <v>0</v>
      </c>
      <c r="AW84" s="196">
        <f t="shared" si="18"/>
        <v>0</v>
      </c>
      <c r="AX84" s="198">
        <f t="shared" si="19"/>
        <v>0</v>
      </c>
      <c r="AY84" s="164"/>
      <c r="AZ84" s="23"/>
      <c r="BA84" s="23"/>
      <c r="BB84" s="23"/>
      <c r="BC84" s="23"/>
      <c r="BD84" s="23"/>
      <c r="BE84" s="23"/>
      <c r="BF84" s="23"/>
      <c r="BG84" s="23"/>
      <c r="BH84" s="23"/>
      <c r="BI84" s="23"/>
      <c r="BJ84" s="23"/>
      <c r="BK84" s="23"/>
      <c r="BL84" s="23"/>
      <c r="BM84" s="23"/>
      <c r="BN84" s="23"/>
    </row>
    <row r="85" spans="1:66">
      <c r="A85" s="23">
        <f t="shared" si="10"/>
        <v>0.12998188330779745</v>
      </c>
      <c r="B85" s="100">
        <v>34</v>
      </c>
      <c r="C85" s="6">
        <f t="shared" si="26"/>
        <v>5.2</v>
      </c>
      <c r="D85" s="6">
        <f t="shared" si="11"/>
        <v>878.14545454545453</v>
      </c>
      <c r="E85" s="87">
        <v>0.15</v>
      </c>
      <c r="F85" s="87" t="str">
        <f t="shared" si="27"/>
        <v>2nd</v>
      </c>
      <c r="G85" s="87" t="str" cm="1">
        <f t="array" ref="G85">_xlfn.SWITCH(TRUE,
  OR(C85=$F$46, C85=$G$46, C85=$H$46, C85=$I$46), "端リブ",
  C85&lt;$F$46, "0番",
  C85&lt;$G$46, "1番",
  C85&lt;$H$46, "2番",
  C85&lt;$I$46, "3番",
  C85&lt;$J$46, "4番",
  "ウィングレット"
)</f>
        <v>2番</v>
      </c>
      <c r="H85" s="229" t="s">
        <v>942</v>
      </c>
      <c r="I85" s="6">
        <f>'主翼(桁)'!F79*2</f>
        <v>99.143000000000015</v>
      </c>
      <c r="J85" s="6">
        <f>'主翼(桁)'!G79*2</f>
        <v>93.313345935727796</v>
      </c>
      <c r="K85" s="6">
        <f t="shared" si="0"/>
        <v>0.38</v>
      </c>
      <c r="L85" s="6">
        <f>'主翼(平面形結果)'!O242</f>
        <v>122.85488228902869</v>
      </c>
      <c r="M85" s="196">
        <f t="shared" si="13"/>
        <v>23.711882289028679</v>
      </c>
      <c r="N85" s="273">
        <v>4.921365187806555</v>
      </c>
      <c r="O85" s="196">
        <v>446133.63726987474</v>
      </c>
      <c r="P85" s="196">
        <v>7.962134343297369</v>
      </c>
      <c r="Q85" s="196">
        <v>9.0567223698905075E-2</v>
      </c>
      <c r="R85" s="196">
        <v>-0.81081623601591035</v>
      </c>
      <c r="S85" s="196">
        <v>-0.11501255405910178</v>
      </c>
      <c r="T85" s="196">
        <v>1.1694670579096029</v>
      </c>
      <c r="U85" s="196">
        <v>9.1085095345871114E-3</v>
      </c>
      <c r="V85" s="196">
        <v>4.1778181694250294E-3</v>
      </c>
      <c r="W85" s="196">
        <v>-0.13627735848884526</v>
      </c>
      <c r="X85" s="196">
        <v>-1.933065269788499E-2</v>
      </c>
      <c r="Y85" s="196">
        <v>0.10158588214596045</v>
      </c>
      <c r="Z85" s="196">
        <v>7.2241072904885833E-4</v>
      </c>
      <c r="AA85" s="196">
        <v>4.8544364943453449</v>
      </c>
      <c r="AB85" s="196">
        <v>3.4621707874668943E-2</v>
      </c>
      <c r="AC85" s="196">
        <v>0.20880725881032042</v>
      </c>
      <c r="AD85" s="181" t="str">
        <f t="shared" si="1"/>
        <v>QX0226.dat</v>
      </c>
      <c r="AE85" s="6">
        <f t="shared" si="17"/>
        <v>100</v>
      </c>
      <c r="AF85" s="6" t="str">
        <f t="shared" si="2"/>
        <v>QX0226.dat</v>
      </c>
      <c r="AG85" s="6" cm="1">
        <f t="array" ref="AG85">IF(AD85=AF85,0,
  _xlfn.SWITCH(TRUE,
    $C85&lt;$H$7,  ($C85-$H$6)/($H$7-$H$6),
    $C85&lt;$H$8,  ($C85-$H$7)/($H$8-$H$7),
    $C85&lt;$H$9,  ($C85-$H$8)/($H$9-$H$8),
    $C85&lt;$H$10, ($C85-$H$9)/($H$10-$H$9),
    $C85&lt;$H$11, ($C85-$H$10)/($H$11-$H$10),
    $C85&lt;$H$12, ($C85-$H$11)/($H$12-$H$11),
    ($C85-$H$12)/($H$13-$H$12)
  )*100
)</f>
        <v>0</v>
      </c>
      <c r="AH85" s="6">
        <f t="shared" si="20"/>
        <v>0.33369527272727273</v>
      </c>
      <c r="AI85" s="6">
        <f t="shared" si="21"/>
        <v>-0.54445018181818183</v>
      </c>
      <c r="AJ85" s="6">
        <f t="shared" si="22"/>
        <v>5.2</v>
      </c>
      <c r="AK85" s="6">
        <f t="shared" si="23"/>
        <v>0</v>
      </c>
      <c r="AL85" s="6">
        <f t="shared" si="5"/>
        <v>3.6799999999999997</v>
      </c>
      <c r="AM85" s="30">
        <f t="shared" si="6"/>
        <v>0</v>
      </c>
      <c r="AN85" s="198">
        <v>3.6265110536143372</v>
      </c>
      <c r="AO85" s="196">
        <v>3.2187167362414861</v>
      </c>
      <c r="AP85" s="196">
        <v>5.1972642599894936</v>
      </c>
      <c r="AQ85" s="196">
        <v>0.14992724064974386</v>
      </c>
      <c r="AR85" s="196">
        <v>0.14572648422938955</v>
      </c>
      <c r="AS85" s="196">
        <v>-5.2690294174101919E-2</v>
      </c>
      <c r="AT85" s="196">
        <f t="shared" si="24"/>
        <v>0</v>
      </c>
      <c r="AU85" s="196">
        <f t="shared" si="25"/>
        <v>0</v>
      </c>
      <c r="AV85" s="196">
        <f t="shared" si="9"/>
        <v>0</v>
      </c>
      <c r="AW85" s="196">
        <f t="shared" si="18"/>
        <v>0</v>
      </c>
      <c r="AX85" s="198">
        <f t="shared" si="19"/>
        <v>0</v>
      </c>
      <c r="AY85" s="164"/>
      <c r="AZ85" s="23"/>
      <c r="BA85" s="23"/>
      <c r="BB85" s="23"/>
      <c r="BC85" s="23"/>
      <c r="BD85" s="23"/>
      <c r="BE85" s="23"/>
      <c r="BF85" s="23"/>
      <c r="BG85" s="23"/>
      <c r="BH85" s="23"/>
      <c r="BI85" s="23"/>
      <c r="BJ85" s="23"/>
      <c r="BK85" s="23"/>
      <c r="BL85" s="23"/>
      <c r="BM85" s="23"/>
      <c r="BN85" s="23"/>
    </row>
    <row r="86" spans="1:66">
      <c r="A86" s="23">
        <f t="shared" si="10"/>
        <v>0.12968408948358773</v>
      </c>
      <c r="B86" s="158">
        <v>35</v>
      </c>
      <c r="C86" s="6">
        <f t="shared" si="26"/>
        <v>5.3500000000000005</v>
      </c>
      <c r="D86" s="6">
        <f t="shared" si="11"/>
        <v>869.63636363636351</v>
      </c>
      <c r="E86" s="87">
        <v>0.15</v>
      </c>
      <c r="F86" s="87" t="str">
        <f t="shared" si="27"/>
        <v>2nd</v>
      </c>
      <c r="G86" s="87" t="str" cm="1">
        <f t="array" ref="G86">_xlfn.SWITCH(TRUE,
  OR(C86=$F$46, C86=$G$46, C86=$H$46, C86=$I$46), "端リブ",
  C86&lt;$F$46, "0番",
  C86&lt;$G$46, "1番",
  C86&lt;$H$46, "2番",
  C86&lt;$I$46, "3番",
  C86&lt;$J$46, "4番",
  "ウィングレット"
)</f>
        <v>2番</v>
      </c>
      <c r="H86" s="229" t="s">
        <v>756</v>
      </c>
      <c r="I86" s="6">
        <f>'主翼(桁)'!F80*2</f>
        <v>97.778000000000006</v>
      </c>
      <c r="J86" s="6">
        <f>'主翼(桁)'!G80*2</f>
        <v>92.023175803402637</v>
      </c>
      <c r="K86" s="6">
        <f t="shared" si="0"/>
        <v>0.38</v>
      </c>
      <c r="L86" s="6">
        <f>'主翼(平面形結果)'!O243</f>
        <v>121.6644378625252</v>
      </c>
      <c r="M86" s="196">
        <f t="shared" si="13"/>
        <v>23.886437862525199</v>
      </c>
      <c r="N86" s="273">
        <v>4.913482356598645</v>
      </c>
      <c r="O86" s="196">
        <v>441789.62632109184</v>
      </c>
      <c r="P86" s="196">
        <v>7.8784237487550683</v>
      </c>
      <c r="Q86" s="196">
        <v>9.0645410370327612E-2</v>
      </c>
      <c r="R86" s="196">
        <v>-0.79490442302590736</v>
      </c>
      <c r="S86" s="196">
        <v>-0.11311995621545978</v>
      </c>
      <c r="T86" s="196">
        <v>1.1686660152757502</v>
      </c>
      <c r="U86" s="196">
        <v>9.1266155447623509E-3</v>
      </c>
      <c r="V86" s="196">
        <v>4.3035770717124522E-3</v>
      </c>
      <c r="W86" s="196">
        <v>-0.13625681279140001</v>
      </c>
      <c r="X86" s="196">
        <v>-1.9390211263825008E-2</v>
      </c>
      <c r="Y86" s="196">
        <v>0.10165137570131039</v>
      </c>
      <c r="Z86" s="196">
        <v>7.2170443842275002E-4</v>
      </c>
      <c r="AA86" s="196">
        <v>4.8038760254464892</v>
      </c>
      <c r="AB86" s="196">
        <v>3.5656896037328266E-2</v>
      </c>
      <c r="AC86" s="196">
        <v>0.21505053261966764</v>
      </c>
      <c r="AD86" s="181" t="str">
        <f t="shared" si="1"/>
        <v>QX0226.dat</v>
      </c>
      <c r="AE86" s="6">
        <f t="shared" si="17"/>
        <v>100</v>
      </c>
      <c r="AF86" s="6" t="str">
        <f t="shared" si="2"/>
        <v>QX0226.dat</v>
      </c>
      <c r="AG86" s="6" cm="1">
        <f t="array" ref="AG86">IF(AD86=AF86,0,
  _xlfn.SWITCH(TRUE,
    $C86&lt;$H$7,  ($C86-$H$6)/($H$7-$H$6),
    $C86&lt;$H$8,  ($C86-$H$7)/($H$8-$H$7),
    $C86&lt;$H$9,  ($C86-$H$8)/($H$9-$H$8),
    $C86&lt;$H$10, ($C86-$H$9)/($H$10-$H$9),
    $C86&lt;$H$11, ($C86-$H$10)/($H$11-$H$10),
    $C86&lt;$H$12, ($C86-$H$11)/($H$12-$H$11),
    ($C86-$H$12)/($H$13-$H$12)
  )*100
)</f>
        <v>0</v>
      </c>
      <c r="AH86" s="6">
        <f t="shared" si="20"/>
        <v>0.33046181818181813</v>
      </c>
      <c r="AI86" s="6">
        <f t="shared" si="21"/>
        <v>-0.53917454545454535</v>
      </c>
      <c r="AJ86" s="6">
        <f t="shared" si="22"/>
        <v>5.3500000000000005</v>
      </c>
      <c r="AK86" s="6">
        <f t="shared" si="23"/>
        <v>0</v>
      </c>
      <c r="AL86" s="6">
        <f t="shared" si="5"/>
        <v>3.6799999999999997</v>
      </c>
      <c r="AM86" s="30">
        <f t="shared" si="6"/>
        <v>0</v>
      </c>
      <c r="AN86" s="198">
        <v>3.6248970301657071</v>
      </c>
      <c r="AO86" s="196">
        <v>3.3183570082365819</v>
      </c>
      <c r="AP86" s="196">
        <v>5.3470276313553455</v>
      </c>
      <c r="AQ86" s="196">
        <v>0.15834938984895663</v>
      </c>
      <c r="AR86" s="196">
        <v>0.15402144546436858</v>
      </c>
      <c r="AS86" s="196">
        <v>-5.4302645427753302E-2</v>
      </c>
      <c r="AT86" s="196">
        <f t="shared" si="24"/>
        <v>0</v>
      </c>
      <c r="AU86" s="196">
        <f t="shared" si="25"/>
        <v>0</v>
      </c>
      <c r="AV86" s="196">
        <f t="shared" si="9"/>
        <v>0</v>
      </c>
      <c r="AW86" s="196">
        <f t="shared" si="18"/>
        <v>0</v>
      </c>
      <c r="AX86" s="198">
        <f t="shared" si="19"/>
        <v>0</v>
      </c>
      <c r="AY86" s="164"/>
      <c r="AZ86" s="23"/>
      <c r="BA86" s="23"/>
      <c r="BB86" s="23"/>
      <c r="BC86" s="23"/>
      <c r="BD86" s="23"/>
      <c r="BE86" s="23"/>
      <c r="BF86" s="23"/>
      <c r="BG86" s="23"/>
      <c r="BH86" s="23"/>
      <c r="BI86" s="23"/>
      <c r="BJ86" s="23"/>
      <c r="BK86" s="23"/>
      <c r="BL86" s="23"/>
      <c r="BM86" s="23"/>
      <c r="BN86" s="23"/>
    </row>
    <row r="87" spans="1:66">
      <c r="A87" s="23">
        <f t="shared" si="10"/>
        <v>0.12938041045563956</v>
      </c>
      <c r="B87" s="100">
        <v>36</v>
      </c>
      <c r="C87" s="6">
        <f t="shared" si="26"/>
        <v>5.5000000000000009</v>
      </c>
      <c r="D87" s="6">
        <f t="shared" si="11"/>
        <v>861.12727272727261</v>
      </c>
      <c r="E87" s="87">
        <v>0.15</v>
      </c>
      <c r="F87" s="87" t="str">
        <f t="shared" si="27"/>
        <v>2nd</v>
      </c>
      <c r="G87" s="87" t="str" cm="1">
        <f t="array" ref="G87">_xlfn.SWITCH(TRUE,
  OR(C87=$F$46, C87=$G$46, C87=$H$46, C87=$I$46), "端リブ",
  C87&lt;$F$46, "0番",
  C87&lt;$G$46, "1番",
  C87&lt;$H$46, "2番",
  C87&lt;$I$46, "3番",
  C87&lt;$J$46, "4番",
  "ウィングレット"
)</f>
        <v>2番</v>
      </c>
      <c r="H87" s="229" t="s">
        <v>942</v>
      </c>
      <c r="I87" s="6">
        <f>'主翼(桁)'!F81*2</f>
        <v>96.412999999999997</v>
      </c>
      <c r="J87" s="6">
        <f>'主翼(桁)'!G81*2</f>
        <v>90.733005671077493</v>
      </c>
      <c r="K87" s="6">
        <f t="shared" si="0"/>
        <v>0.38</v>
      </c>
      <c r="L87" s="6">
        <f>'主翼(平面形結果)'!O244</f>
        <v>120.47399343602173</v>
      </c>
      <c r="M87" s="196">
        <f t="shared" si="13"/>
        <v>24.060993436021732</v>
      </c>
      <c r="N87" s="273">
        <v>4.9057927233775223</v>
      </c>
      <c r="O87" s="196">
        <v>437445.615372309</v>
      </c>
      <c r="P87" s="196">
        <v>7.7949454861518221</v>
      </c>
      <c r="Q87" s="196">
        <v>9.0681241616414443E-2</v>
      </c>
      <c r="R87" s="196">
        <v>-0.77914885193517136</v>
      </c>
      <c r="S87" s="196">
        <v>-0.11122123216905683</v>
      </c>
      <c r="T87" s="196">
        <v>1.1678841084746425</v>
      </c>
      <c r="U87" s="196">
        <v>9.145340810264857E-3</v>
      </c>
      <c r="V87" s="196">
        <v>4.4252556201153335E-3</v>
      </c>
      <c r="W87" s="196">
        <v>-0.13623565419109096</v>
      </c>
      <c r="X87" s="196">
        <v>-1.9447243343626727E-2</v>
      </c>
      <c r="Y87" s="196">
        <v>0.1017150668204838</v>
      </c>
      <c r="Z87" s="196">
        <v>7.2107739556721189E-4</v>
      </c>
      <c r="AA87" s="196">
        <v>4.7534581955439368</v>
      </c>
      <c r="AB87" s="196">
        <v>3.66598311776897E-2</v>
      </c>
      <c r="AC87" s="196">
        <v>0.22109928189988909</v>
      </c>
      <c r="AD87" s="181" t="str">
        <f t="shared" si="1"/>
        <v>QX0226.dat</v>
      </c>
      <c r="AE87" s="6">
        <f t="shared" si="17"/>
        <v>100</v>
      </c>
      <c r="AF87" s="6" t="str">
        <f t="shared" si="2"/>
        <v>QX0226.dat</v>
      </c>
      <c r="AG87" s="6" cm="1">
        <f t="array" ref="AG87">IF(AD87=AF87,0,
  _xlfn.SWITCH(TRUE,
    $C87&lt;$H$7,  ($C87-$H$6)/($H$7-$H$6),
    $C87&lt;$H$8,  ($C87-$H$7)/($H$8-$H$7),
    $C87&lt;$H$9,  ($C87-$H$8)/($H$9-$H$8),
    $C87&lt;$H$10, ($C87-$H$9)/($H$10-$H$9),
    $C87&lt;$H$11, ($C87-$H$10)/($H$11-$H$10),
    $C87&lt;$H$12, ($C87-$H$11)/($H$12-$H$11),
    ($C87-$H$12)/($H$13-$H$12)
  )*100
)</f>
        <v>0</v>
      </c>
      <c r="AH87" s="6">
        <f t="shared" si="20"/>
        <v>0.3272283636363636</v>
      </c>
      <c r="AI87" s="6">
        <f t="shared" si="21"/>
        <v>-0.53389890909090898</v>
      </c>
      <c r="AJ87" s="6">
        <f t="shared" si="22"/>
        <v>5.5000000000000009</v>
      </c>
      <c r="AK87" s="6">
        <f t="shared" si="23"/>
        <v>0</v>
      </c>
      <c r="AL87" s="6">
        <f t="shared" si="5"/>
        <v>3.6799999999999997</v>
      </c>
      <c r="AM87" s="30">
        <f t="shared" si="6"/>
        <v>0</v>
      </c>
      <c r="AN87" s="198">
        <v>3.6232798733734062</v>
      </c>
      <c r="AO87" s="196">
        <v>3.4173165639637348</v>
      </c>
      <c r="AP87" s="196">
        <v>5.4967761297187057</v>
      </c>
      <c r="AQ87" s="196">
        <v>0.16703197229421729</v>
      </c>
      <c r="AR87" s="196">
        <v>0.16257811605180825</v>
      </c>
      <c r="AS87" s="196">
        <v>-5.5918482823873433E-2</v>
      </c>
      <c r="AT87" s="196">
        <f t="shared" si="24"/>
        <v>0</v>
      </c>
      <c r="AU87" s="196">
        <f t="shared" si="25"/>
        <v>0</v>
      </c>
      <c r="AV87" s="196">
        <f t="shared" si="9"/>
        <v>0</v>
      </c>
      <c r="AW87" s="196">
        <f t="shared" si="18"/>
        <v>0</v>
      </c>
      <c r="AX87" s="198">
        <f t="shared" si="19"/>
        <v>0</v>
      </c>
      <c r="AY87" s="164"/>
      <c r="AZ87" s="23"/>
      <c r="BA87" s="23"/>
      <c r="BB87" s="23"/>
      <c r="BC87" s="23"/>
      <c r="BD87" s="23"/>
      <c r="BE87" s="23"/>
      <c r="BF87" s="23"/>
      <c r="BG87" s="23"/>
      <c r="BH87" s="23"/>
      <c r="BI87" s="23"/>
      <c r="BJ87" s="23"/>
      <c r="BK87" s="23"/>
      <c r="BL87" s="23"/>
      <c r="BM87" s="23"/>
      <c r="BN87" s="23"/>
    </row>
    <row r="88" spans="1:66">
      <c r="A88" s="23">
        <f t="shared" si="10"/>
        <v>0.12907067002175121</v>
      </c>
      <c r="B88" s="158">
        <v>37</v>
      </c>
      <c r="C88" s="6">
        <f t="shared" si="26"/>
        <v>5.6500000000000012</v>
      </c>
      <c r="D88" s="6">
        <f t="shared" si="11"/>
        <v>852.61818181818171</v>
      </c>
      <c r="E88" s="87">
        <v>0.15</v>
      </c>
      <c r="F88" s="87" t="str">
        <f t="shared" si="27"/>
        <v>2nd</v>
      </c>
      <c r="G88" s="87" t="str" cm="1">
        <f t="array" ref="G88">_xlfn.SWITCH(TRUE,
  OR(C88=$F$46, C88=$G$46, C88=$H$46, C88=$I$46), "端リブ",
  C88&lt;$F$46, "0番",
  C88&lt;$G$46, "1番",
  C88&lt;$H$46, "2番",
  C88&lt;$I$46, "3番",
  C88&lt;$J$46, "4番",
  "ウィングレット"
)</f>
        <v>2番</v>
      </c>
      <c r="H88" s="229" t="s">
        <v>756</v>
      </c>
      <c r="I88" s="6">
        <f>'主翼(桁)'!F82*2</f>
        <v>95.048000000000002</v>
      </c>
      <c r="J88" s="6">
        <f>'主翼(桁)'!G82*2</f>
        <v>89.442835538752348</v>
      </c>
      <c r="K88" s="6">
        <f t="shared" si="0"/>
        <v>0.38</v>
      </c>
      <c r="L88" s="6">
        <f>'主翼(平面形結果)'!O245</f>
        <v>119.28354900951823</v>
      </c>
      <c r="M88" s="196">
        <f t="shared" si="13"/>
        <v>24.235549009518223</v>
      </c>
      <c r="N88" s="273">
        <v>4.8978184149157018</v>
      </c>
      <c r="O88" s="196">
        <v>433101.60442352598</v>
      </c>
      <c r="P88" s="196">
        <v>7.7113758159159085</v>
      </c>
      <c r="Q88" s="196">
        <v>9.0736598911729388E-2</v>
      </c>
      <c r="R88" s="196">
        <v>-0.76355540064791005</v>
      </c>
      <c r="S88" s="196">
        <v>-0.10935031779220775</v>
      </c>
      <c r="T88" s="196">
        <v>1.1670727384904986</v>
      </c>
      <c r="U88" s="196">
        <v>9.1643521703285158E-3</v>
      </c>
      <c r="V88" s="196">
        <v>4.5524416131285991E-3</v>
      </c>
      <c r="W88" s="196">
        <v>-0.13621488364680301</v>
      </c>
      <c r="X88" s="196">
        <v>-1.9507609797753164E-2</v>
      </c>
      <c r="Y88" s="196">
        <v>0.10178090997081175</v>
      </c>
      <c r="Z88" s="196">
        <v>7.203499017917319E-4</v>
      </c>
      <c r="AA88" s="196">
        <v>4.7029848435516657</v>
      </c>
      <c r="AB88" s="196">
        <v>3.7709633778856527E-2</v>
      </c>
      <c r="AC88" s="196">
        <v>0.22743068577204203</v>
      </c>
      <c r="AD88" s="181" t="str">
        <f t="shared" si="1"/>
        <v>QX0226.dat</v>
      </c>
      <c r="AE88" s="6">
        <f t="shared" si="17"/>
        <v>100</v>
      </c>
      <c r="AF88" s="6" t="str">
        <f t="shared" si="2"/>
        <v>QX0226.dat</v>
      </c>
      <c r="AG88" s="6" cm="1">
        <f t="array" ref="AG88">IF(AD88=AF88,0,
  _xlfn.SWITCH(TRUE,
    $C88&lt;$H$7,  ($C88-$H$6)/($H$7-$H$6),
    $C88&lt;$H$8,  ($C88-$H$7)/($H$8-$H$7),
    $C88&lt;$H$9,  ($C88-$H$8)/($H$9-$H$8),
    $C88&lt;$H$10, ($C88-$H$9)/($H$10-$H$9),
    $C88&lt;$H$11, ($C88-$H$10)/($H$11-$H$10),
    $C88&lt;$H$12, ($C88-$H$11)/($H$12-$H$11),
    ($C88-$H$12)/($H$13-$H$12)
  )*100
)</f>
        <v>0</v>
      </c>
      <c r="AH88" s="6">
        <f t="shared" si="20"/>
        <v>0.32399490909090906</v>
      </c>
      <c r="AI88" s="6">
        <f t="shared" si="21"/>
        <v>-0.52862327272727261</v>
      </c>
      <c r="AJ88" s="6">
        <f t="shared" si="22"/>
        <v>5.6500000000000012</v>
      </c>
      <c r="AK88" s="6">
        <f t="shared" si="23"/>
        <v>0</v>
      </c>
      <c r="AL88" s="6">
        <f t="shared" si="5"/>
        <v>3.6799999999999997</v>
      </c>
      <c r="AM88" s="30">
        <f t="shared" si="6"/>
        <v>0</v>
      </c>
      <c r="AN88" s="198">
        <v>3.6216603421028517</v>
      </c>
      <c r="AO88" s="196">
        <v>3.5155711491097232</v>
      </c>
      <c r="AP88" s="196">
        <v>5.6465094084344098</v>
      </c>
      <c r="AQ88" s="196">
        <v>0.17597318278527324</v>
      </c>
      <c r="AR88" s="196">
        <v>0.17139474552645995</v>
      </c>
      <c r="AS88" s="196">
        <v>-5.7537083133301768E-2</v>
      </c>
      <c r="AT88" s="196">
        <f t="shared" si="24"/>
        <v>0</v>
      </c>
      <c r="AU88" s="196">
        <f t="shared" si="25"/>
        <v>0</v>
      </c>
      <c r="AV88" s="196">
        <f t="shared" si="9"/>
        <v>0</v>
      </c>
      <c r="AW88" s="196">
        <f t="shared" si="18"/>
        <v>0</v>
      </c>
      <c r="AX88" s="198">
        <f t="shared" si="19"/>
        <v>0</v>
      </c>
      <c r="AY88" s="164"/>
      <c r="AZ88" s="23"/>
      <c r="BA88" s="23"/>
      <c r="BB88" s="23"/>
      <c r="BC88" s="23"/>
      <c r="BD88" s="23"/>
      <c r="BE88" s="23"/>
      <c r="BF88" s="23"/>
      <c r="BG88" s="23"/>
      <c r="BH88" s="23"/>
      <c r="BI88" s="23"/>
      <c r="BJ88" s="23"/>
      <c r="BK88" s="23"/>
      <c r="BL88" s="23"/>
      <c r="BM88" s="23"/>
      <c r="BN88" s="23"/>
    </row>
    <row r="89" spans="1:66">
      <c r="A89" s="23">
        <f t="shared" si="10"/>
        <v>0.12875468487485461</v>
      </c>
      <c r="B89" s="100">
        <v>38</v>
      </c>
      <c r="C89" s="6">
        <f t="shared" si="26"/>
        <v>5.8000000000000016</v>
      </c>
      <c r="D89" s="6">
        <f t="shared" si="11"/>
        <v>844.10909090909081</v>
      </c>
      <c r="E89" s="87">
        <v>0.15</v>
      </c>
      <c r="F89" s="87" t="str">
        <f t="shared" si="27"/>
        <v>2nd</v>
      </c>
      <c r="G89" s="87" t="str" cm="1">
        <f t="array" ref="G89">_xlfn.SWITCH(TRUE,
  OR(C89=$F$46, C89=$G$46, C89=$H$46, C89=$I$46), "端リブ",
  C89&lt;$F$46, "0番",
  C89&lt;$G$46, "1番",
  C89&lt;$H$46, "2番",
  C89&lt;$I$46, "3番",
  C89&lt;$J$46, "4番",
  "ウィングレット"
)</f>
        <v>2番</v>
      </c>
      <c r="H89" s="229" t="s">
        <v>942</v>
      </c>
      <c r="I89" s="6">
        <f>'主翼(桁)'!F83*2</f>
        <v>93.682999999999993</v>
      </c>
      <c r="J89" s="6">
        <f>'主翼(桁)'!G83*2</f>
        <v>88.152665406427204</v>
      </c>
      <c r="K89" s="6">
        <f t="shared" si="0"/>
        <v>0.38</v>
      </c>
      <c r="L89" s="6">
        <f>'主翼(平面形結果)'!O246</f>
        <v>118.09310458301475</v>
      </c>
      <c r="M89" s="196">
        <f t="shared" si="13"/>
        <v>24.410104583014757</v>
      </c>
      <c r="N89" s="273">
        <v>4.8892937029805683</v>
      </c>
      <c r="O89" s="196">
        <v>428757.59347474313</v>
      </c>
      <c r="P89" s="196">
        <v>7.6275444972098532</v>
      </c>
      <c r="Q89" s="196">
        <v>9.0843876481499775E-2</v>
      </c>
      <c r="R89" s="196">
        <v>-0.74812699495980106</v>
      </c>
      <c r="S89" s="196">
        <v>-0.10752420329595119</v>
      </c>
      <c r="T89" s="196">
        <v>1.1662047863528273</v>
      </c>
      <c r="U89" s="196">
        <v>9.1834709200102893E-3</v>
      </c>
      <c r="V89" s="196">
        <v>4.6904489548946901E-3</v>
      </c>
      <c r="W89" s="196">
        <v>-0.13619504842552999</v>
      </c>
      <c r="X89" s="196">
        <v>-1.9574569790247284E-2</v>
      </c>
      <c r="Y89" s="196">
        <v>0.10185106587119187</v>
      </c>
      <c r="Z89" s="196">
        <v>7.1942131260594334E-4</v>
      </c>
      <c r="AA89" s="196">
        <v>4.6523513560590279</v>
      </c>
      <c r="AB89" s="196">
        <v>3.8850620342225514E-2</v>
      </c>
      <c r="AC89" s="196">
        <v>0.23431201767131926</v>
      </c>
      <c r="AD89" s="181" t="str">
        <f t="shared" si="1"/>
        <v>QX0226.dat</v>
      </c>
      <c r="AE89" s="6">
        <f t="shared" si="17"/>
        <v>100</v>
      </c>
      <c r="AF89" s="6" t="str">
        <f t="shared" si="2"/>
        <v>QX0226.dat</v>
      </c>
      <c r="AG89" s="6" cm="1">
        <f t="array" ref="AG89">IF(AD89=AF89,0,
  _xlfn.SWITCH(TRUE,
    $C89&lt;$H$7,  ($C89-$H$6)/($H$7-$H$6),
    $C89&lt;$H$8,  ($C89-$H$7)/($H$8-$H$7),
    $C89&lt;$H$9,  ($C89-$H$8)/($H$9-$H$8),
    $C89&lt;$H$10, ($C89-$H$9)/($H$10-$H$9),
    $C89&lt;$H$11, ($C89-$H$10)/($H$11-$H$10),
    $C89&lt;$H$12, ($C89-$H$11)/($H$12-$H$11),
    ($C89-$H$12)/($H$13-$H$12)
  )*100
)</f>
        <v>0</v>
      </c>
      <c r="AH89" s="6">
        <f t="shared" si="20"/>
        <v>0.32076145454545452</v>
      </c>
      <c r="AI89" s="6">
        <f t="shared" si="21"/>
        <v>-0.52334763636363624</v>
      </c>
      <c r="AJ89" s="6">
        <f t="shared" si="22"/>
        <v>5.8000000000000016</v>
      </c>
      <c r="AK89" s="6">
        <f t="shared" si="23"/>
        <v>0</v>
      </c>
      <c r="AL89" s="6">
        <f t="shared" si="5"/>
        <v>3.6799999999999997</v>
      </c>
      <c r="AM89" s="30">
        <f t="shared" si="6"/>
        <v>0</v>
      </c>
      <c r="AN89" s="198">
        <v>3.6200392756636761</v>
      </c>
      <c r="AO89" s="196">
        <v>3.6130961946311269</v>
      </c>
      <c r="AP89" s="196">
        <v>5.7962271340144431</v>
      </c>
      <c r="AQ89" s="196">
        <v>0.18517115251461028</v>
      </c>
      <c r="AR89" s="196">
        <v>0.18046952038897002</v>
      </c>
      <c r="AS89" s="196">
        <v>-5.9157651381845006E-2</v>
      </c>
      <c r="AT89" s="196">
        <f t="shared" si="24"/>
        <v>0</v>
      </c>
      <c r="AU89" s="196">
        <f t="shared" si="25"/>
        <v>0</v>
      </c>
      <c r="AV89" s="196">
        <f t="shared" si="9"/>
        <v>0</v>
      </c>
      <c r="AW89" s="196">
        <f t="shared" si="18"/>
        <v>0</v>
      </c>
      <c r="AX89" s="198">
        <f t="shared" si="19"/>
        <v>0</v>
      </c>
      <c r="AY89" s="164"/>
      <c r="AZ89" s="23"/>
      <c r="BA89" s="23"/>
      <c r="BB89" s="23"/>
      <c r="BC89" s="23"/>
      <c r="BD89" s="23"/>
      <c r="BE89" s="23"/>
      <c r="BF89" s="23"/>
      <c r="BG89" s="23"/>
      <c r="BH89" s="23"/>
      <c r="BI89" s="23"/>
      <c r="BJ89" s="23"/>
      <c r="BK89" s="23"/>
      <c r="BL89" s="23"/>
      <c r="BM89" s="23"/>
      <c r="BN89" s="23"/>
    </row>
    <row r="90" spans="1:66">
      <c r="A90" s="23">
        <f t="shared" si="10"/>
        <v>0.12843226424126378</v>
      </c>
      <c r="B90" s="158">
        <v>39</v>
      </c>
      <c r="C90" s="6">
        <f t="shared" si="26"/>
        <v>5.950000000000002</v>
      </c>
      <c r="D90" s="6">
        <f t="shared" si="11"/>
        <v>835.59999999999991</v>
      </c>
      <c r="E90" s="87">
        <v>0.15</v>
      </c>
      <c r="F90" s="87" t="str">
        <f t="shared" si="27"/>
        <v>2nd</v>
      </c>
      <c r="G90" s="87" t="str" cm="1">
        <f t="array" ref="G90">_xlfn.SWITCH(TRUE,
  OR(C90=$F$46, C90=$G$46, C90=$H$46, C90=$I$46), "端リブ",
  C90&lt;$F$46, "0番",
  C90&lt;$G$46, "1番",
  C90&lt;$H$46, "2番",
  C90&lt;$I$46, "3番",
  C90&lt;$J$46, "4番",
  "ウィングレット"
)</f>
        <v>2番</v>
      </c>
      <c r="H90" s="229" t="s">
        <v>756</v>
      </c>
      <c r="I90" s="6">
        <f>'主翼(桁)'!F84*2</f>
        <v>92.317999999999998</v>
      </c>
      <c r="J90" s="6">
        <f>'主翼(桁)'!G84*2</f>
        <v>86.862495274102059</v>
      </c>
      <c r="K90" s="6">
        <f t="shared" si="0"/>
        <v>0.38</v>
      </c>
      <c r="L90" s="6">
        <f>'主翼(平面形結果)'!O247</f>
        <v>116.90266015651125</v>
      </c>
      <c r="M90" s="196">
        <f t="shared" si="13"/>
        <v>24.584660156511248</v>
      </c>
      <c r="N90" s="273">
        <v>4.8800166884031739</v>
      </c>
      <c r="O90" s="196">
        <v>424413.58252596023</v>
      </c>
      <c r="P90" s="196">
        <v>7.5433301434211932</v>
      </c>
      <c r="Q90" s="196">
        <v>9.1025977240060951E-2</v>
      </c>
      <c r="R90" s="196">
        <v>-0.73286555834040867</v>
      </c>
      <c r="S90" s="196">
        <v>-0.10575423565351671</v>
      </c>
      <c r="T90" s="196">
        <v>1.1652595594371851</v>
      </c>
      <c r="U90" s="196">
        <v>9.2025658233576835E-3</v>
      </c>
      <c r="V90" s="196">
        <v>4.8432821446775546E-3</v>
      </c>
      <c r="W90" s="196">
        <v>-0.13617655538087148</v>
      </c>
      <c r="X90" s="196">
        <v>-1.9650599437152999E-2</v>
      </c>
      <c r="Y90" s="196">
        <v>0.10192714063024164</v>
      </c>
      <c r="Z90" s="196">
        <v>7.1821462396089164E-4</v>
      </c>
      <c r="AA90" s="196">
        <v>4.6014828809927772</v>
      </c>
      <c r="AB90" s="196">
        <v>4.0116296269052408E-2</v>
      </c>
      <c r="AC90" s="196">
        <v>0.24194534778784557</v>
      </c>
      <c r="AD90" s="181" t="str">
        <f t="shared" si="1"/>
        <v>QX0226.dat</v>
      </c>
      <c r="AE90" s="6">
        <f t="shared" si="17"/>
        <v>100</v>
      </c>
      <c r="AF90" s="6" t="str">
        <f t="shared" si="2"/>
        <v>QX0226.dat</v>
      </c>
      <c r="AG90" s="6" cm="1">
        <f t="array" ref="AG90">IF(AD90=AF90,0,
  _xlfn.SWITCH(TRUE,
    $C90&lt;$H$7,  ($C90-$H$6)/($H$7-$H$6),
    $C90&lt;$H$8,  ($C90-$H$7)/($H$8-$H$7),
    $C90&lt;$H$9,  ($C90-$H$8)/($H$9-$H$8),
    $C90&lt;$H$10, ($C90-$H$9)/($H$10-$H$9),
    $C90&lt;$H$11, ($C90-$H$10)/($H$11-$H$10),
    $C90&lt;$H$12, ($C90-$H$11)/($H$12-$H$11),
    ($C90-$H$12)/($H$13-$H$12)
  )*100
)</f>
        <v>0</v>
      </c>
      <c r="AH90" s="6">
        <f t="shared" si="20"/>
        <v>0.31752799999999998</v>
      </c>
      <c r="AI90" s="6">
        <f t="shared" si="21"/>
        <v>-0.51807199999999987</v>
      </c>
      <c r="AJ90" s="6">
        <f t="shared" si="22"/>
        <v>5.950000000000002</v>
      </c>
      <c r="AK90" s="6">
        <f t="shared" si="23"/>
        <v>0</v>
      </c>
      <c r="AL90" s="6">
        <f t="shared" si="5"/>
        <v>3.6799999999999997</v>
      </c>
      <c r="AM90" s="30">
        <f t="shared" si="6"/>
        <v>0</v>
      </c>
      <c r="AN90" s="198">
        <v>3.6184176113870707</v>
      </c>
      <c r="AO90" s="196">
        <v>3.709866895460963</v>
      </c>
      <c r="AP90" s="196">
        <v>5.94592898654754</v>
      </c>
      <c r="AQ90" s="196">
        <v>0.19462394829993132</v>
      </c>
      <c r="AR90" s="196">
        <v>0.18980056318724661</v>
      </c>
      <c r="AS90" s="196">
        <v>-6.0779303362801157E-2</v>
      </c>
      <c r="AT90" s="196">
        <f t="shared" si="24"/>
        <v>0</v>
      </c>
      <c r="AU90" s="196">
        <f t="shared" si="25"/>
        <v>0</v>
      </c>
      <c r="AV90" s="196">
        <f t="shared" si="9"/>
        <v>0</v>
      </c>
      <c r="AW90" s="196">
        <f t="shared" si="18"/>
        <v>0</v>
      </c>
      <c r="AX90" s="198">
        <f t="shared" si="19"/>
        <v>0</v>
      </c>
      <c r="AY90" s="164"/>
      <c r="AZ90" s="23"/>
      <c r="BA90" s="23"/>
      <c r="BB90" s="23"/>
      <c r="BC90" s="23"/>
      <c r="BD90" s="23"/>
      <c r="BE90" s="23"/>
      <c r="BF90" s="23"/>
      <c r="BG90" s="23"/>
      <c r="BH90" s="23"/>
      <c r="BI90" s="23"/>
      <c r="BJ90" s="23"/>
      <c r="BK90" s="23"/>
      <c r="BL90" s="23"/>
      <c r="BM90" s="23"/>
      <c r="BN90" s="23"/>
    </row>
    <row r="91" spans="1:66">
      <c r="A91" s="23">
        <f t="shared" si="10"/>
        <v>0.12810320949659268</v>
      </c>
      <c r="B91" s="100">
        <v>40</v>
      </c>
      <c r="C91" s="6">
        <f t="shared" si="26"/>
        <v>6.1000000000000023</v>
      </c>
      <c r="D91" s="6">
        <f t="shared" si="11"/>
        <v>827.09090909090889</v>
      </c>
      <c r="E91" s="87">
        <v>0.15</v>
      </c>
      <c r="F91" s="87" t="str">
        <f t="shared" si="27"/>
        <v>2nd</v>
      </c>
      <c r="G91" s="87" t="str" cm="1">
        <f t="array" ref="G91">_xlfn.SWITCH(TRUE,
  OR(C91=$F$46, C91=$G$46, C91=$H$46, C91=$I$46), "端リブ",
  C91&lt;$F$46, "0番",
  C91&lt;$G$46, "1番",
  C91&lt;$H$46, "2番",
  C91&lt;$I$46, "3番",
  C91&lt;$J$46, "4番",
  "ウィングレット"
)</f>
        <v>2番</v>
      </c>
      <c r="H91" s="229" t="s">
        <v>942</v>
      </c>
      <c r="I91" s="6">
        <f>'主翼(桁)'!F85*2</f>
        <v>90.952999999999989</v>
      </c>
      <c r="J91" s="6">
        <f>'主翼(桁)'!G85*2</f>
        <v>85.572325141776915</v>
      </c>
      <c r="K91" s="6">
        <f t="shared" si="0"/>
        <v>0.38</v>
      </c>
      <c r="L91" s="6">
        <f>'主翼(平面形結果)'!O248</f>
        <v>115.71221573000777</v>
      </c>
      <c r="M91" s="196">
        <f t="shared" si="13"/>
        <v>24.759215730007782</v>
      </c>
      <c r="N91" s="273">
        <v>4.8697980518532766</v>
      </c>
      <c r="O91" s="196">
        <v>420069.57157717732</v>
      </c>
      <c r="P91" s="196">
        <v>7.4586246563229022</v>
      </c>
      <c r="Q91" s="196">
        <v>9.1303066199741101E-2</v>
      </c>
      <c r="R91" s="196">
        <v>-0.71777265702462245</v>
      </c>
      <c r="S91" s="196">
        <v>-0.10404989803089672</v>
      </c>
      <c r="T91" s="196">
        <v>1.1642175762760383</v>
      </c>
      <c r="U91" s="196">
        <v>9.2215165676638455E-3</v>
      </c>
      <c r="V91" s="196">
        <v>5.0146744749562967E-3</v>
      </c>
      <c r="W91" s="196">
        <v>-0.13615977749441111</v>
      </c>
      <c r="X91" s="196">
        <v>-1.9738019866807302E-2</v>
      </c>
      <c r="Y91" s="196">
        <v>0.10201060832057113</v>
      </c>
      <c r="Z91" s="196">
        <v>7.1665736141700038E-4</v>
      </c>
      <c r="AA91" s="196">
        <v>4.5503126454864518</v>
      </c>
      <c r="AB91" s="196">
        <v>4.1538252830147997E-2</v>
      </c>
      <c r="AC91" s="196">
        <v>0.25052120091771152</v>
      </c>
      <c r="AD91" s="181" t="str">
        <f t="shared" si="1"/>
        <v>QX0226.dat</v>
      </c>
      <c r="AE91" s="6">
        <f>100-AG91</f>
        <v>100</v>
      </c>
      <c r="AF91" s="6" t="str">
        <f t="shared" si="2"/>
        <v>QX0226.dat</v>
      </c>
      <c r="AG91" s="6" cm="1">
        <f t="array" ref="AG91">IF(AD91=AF91,0,
  _xlfn.SWITCH(TRUE,
    $C91&lt;$H$7,  ($C91-$H$6)/($H$7-$H$6),
    $C91&lt;$H$8,  ($C91-$H$7)/($H$8-$H$7),
    $C91&lt;$H$9,  ($C91-$H$8)/($H$9-$H$8),
    $C91&lt;$H$10, ($C91-$H$9)/($H$10-$H$9),
    $C91&lt;$H$11, ($C91-$H$10)/($H$11-$H$10),
    $C91&lt;$H$12, ($C91-$H$11)/($H$12-$H$11),
    ($C91-$H$12)/($H$13-$H$12)
  )*100
)</f>
        <v>0</v>
      </c>
      <c r="AH91" s="6">
        <f t="shared" si="20"/>
        <v>0.31429454545454538</v>
      </c>
      <c r="AI91" s="6">
        <f t="shared" si="21"/>
        <v>-0.51279636363636349</v>
      </c>
      <c r="AJ91" s="6">
        <f t="shared" si="22"/>
        <v>6.1000000000000023</v>
      </c>
      <c r="AK91" s="6">
        <f t="shared" si="23"/>
        <v>0</v>
      </c>
      <c r="AL91" s="6">
        <f t="shared" si="5"/>
        <v>3.6799999999999997</v>
      </c>
      <c r="AM91" s="30">
        <f t="shared" si="6"/>
        <v>0</v>
      </c>
      <c r="AN91" s="198">
        <v>3.6167964033506861</v>
      </c>
      <c r="AO91" s="196">
        <v>3.8058583027618189</v>
      </c>
      <c r="AP91" s="196">
        <v>6.0956146601042871</v>
      </c>
      <c r="AQ91" s="196">
        <v>0.20432957202347732</v>
      </c>
      <c r="AR91" s="196">
        <v>0.19938593178760883</v>
      </c>
      <c r="AS91" s="196">
        <v>-6.2401047965721691E-2</v>
      </c>
      <c r="AT91" s="196">
        <f t="shared" si="24"/>
        <v>0</v>
      </c>
      <c r="AU91" s="196">
        <f t="shared" si="25"/>
        <v>0</v>
      </c>
      <c r="AV91" s="196">
        <f t="shared" si="9"/>
        <v>0</v>
      </c>
      <c r="AW91" s="196">
        <f t="shared" si="18"/>
        <v>0</v>
      </c>
      <c r="AX91" s="198">
        <f t="shared" si="19"/>
        <v>0</v>
      </c>
      <c r="AY91" s="164"/>
      <c r="AZ91" s="23"/>
      <c r="BA91" s="23"/>
      <c r="BB91" s="23"/>
      <c r="BC91" s="23"/>
      <c r="BD91" s="23"/>
      <c r="BE91" s="23"/>
      <c r="BF91" s="23"/>
      <c r="BG91" s="23"/>
      <c r="BH91" s="23"/>
      <c r="BI91" s="23"/>
      <c r="BJ91" s="23"/>
      <c r="BK91" s="23"/>
      <c r="BL91" s="23"/>
      <c r="BM91" s="23"/>
      <c r="BN91" s="23"/>
    </row>
    <row r="92" spans="1:66">
      <c r="A92" s="23">
        <f t="shared" si="10"/>
        <v>0.12776731375771846</v>
      </c>
      <c r="B92" s="158">
        <v>41</v>
      </c>
      <c r="C92" s="6">
        <f t="shared" si="26"/>
        <v>6.2500000000000027</v>
      </c>
      <c r="D92" s="6">
        <f t="shared" si="11"/>
        <v>818.58181818181799</v>
      </c>
      <c r="E92" s="87">
        <v>0.15</v>
      </c>
      <c r="F92" s="87" t="str">
        <f t="shared" si="27"/>
        <v>2nd</v>
      </c>
      <c r="G92" s="87" t="str" cm="1">
        <f t="array" ref="G92">_xlfn.SWITCH(TRUE,
  OR(C92=$F$46, C92=$G$46, C92=$H$46, C92=$I$46), "端リブ",
  C92&lt;$F$46, "0番",
  C92&lt;$G$46, "1番",
  C92&lt;$H$46, "2番",
  C92&lt;$I$46, "3番",
  C92&lt;$J$46, "4番",
  "ウィングレット"
)</f>
        <v>2番</v>
      </c>
      <c r="H92" s="229" t="s">
        <v>756</v>
      </c>
      <c r="I92" s="6">
        <f>'主翼(桁)'!F86*2</f>
        <v>89.58799999999998</v>
      </c>
      <c r="J92" s="6">
        <f>'主翼(桁)'!G86*2</f>
        <v>84.28215500945177</v>
      </c>
      <c r="K92" s="6">
        <f t="shared" si="0"/>
        <v>0.38</v>
      </c>
      <c r="L92" s="6">
        <f>'主翼(平面形結果)'!O249</f>
        <v>114.52177130350425</v>
      </c>
      <c r="M92" s="196">
        <f t="shared" si="13"/>
        <v>24.933771303504273</v>
      </c>
      <c r="N92" s="273">
        <v>4.8584330998354481</v>
      </c>
      <c r="O92" s="196">
        <v>415725.56062839442</v>
      </c>
      <c r="P92" s="196">
        <v>7.3733146760561992</v>
      </c>
      <c r="Q92" s="196">
        <v>9.169603809992237E-2</v>
      </c>
      <c r="R92" s="196">
        <v>-0.7028498121739063</v>
      </c>
      <c r="S92" s="196">
        <v>-0.10242068906262458</v>
      </c>
      <c r="T92" s="196">
        <v>1.1630577049940765</v>
      </c>
      <c r="U92" s="196">
        <v>9.2401943224764138E-3</v>
      </c>
      <c r="V92" s="196">
        <v>5.2086325871540697E-3</v>
      </c>
      <c r="W92" s="196">
        <v>-0.13614510989517681</v>
      </c>
      <c r="X92" s="196">
        <v>-1.9839339395769193E-2</v>
      </c>
      <c r="Y92" s="196">
        <v>0.10210303443465574</v>
      </c>
      <c r="Z92" s="196">
        <v>7.1467118246096913E-4</v>
      </c>
      <c r="AA92" s="196">
        <v>4.4987706424282692</v>
      </c>
      <c r="AB92" s="196">
        <v>4.315055380920943E-2</v>
      </c>
      <c r="AC92" s="196">
        <v>0.26024501206426676</v>
      </c>
      <c r="AD92" s="181" t="str">
        <f t="shared" si="1"/>
        <v>QX0226.dat</v>
      </c>
      <c r="AE92" s="6">
        <f t="shared" si="17"/>
        <v>100</v>
      </c>
      <c r="AF92" s="6" t="str">
        <f t="shared" si="2"/>
        <v>QX0226.dat</v>
      </c>
      <c r="AG92" s="6" cm="1">
        <f t="array" ref="AG92">IF(AD92=AF92,0,
  _xlfn.SWITCH(TRUE,
    $C92&lt;$H$7,  ($C92-$H$6)/($H$7-$H$6),
    $C92&lt;$H$8,  ($C92-$H$7)/($H$8-$H$7),
    $C92&lt;$H$9,  ($C92-$H$8)/($H$9-$H$8),
    $C92&lt;$H$10, ($C92-$H$9)/($H$10-$H$9),
    $C92&lt;$H$11, ($C92-$H$10)/($H$11-$H$10),
    $C92&lt;$H$12, ($C92-$H$11)/($H$12-$H$11),
    ($C92-$H$12)/($H$13-$H$12)
  )*100
)</f>
        <v>0</v>
      </c>
      <c r="AH92" s="6">
        <f t="shared" si="20"/>
        <v>0.31106109090909084</v>
      </c>
      <c r="AI92" s="6">
        <f t="shared" si="21"/>
        <v>-0.50752072727272712</v>
      </c>
      <c r="AJ92" s="6">
        <f t="shared" si="22"/>
        <v>6.2500000000000027</v>
      </c>
      <c r="AK92" s="6">
        <f t="shared" si="23"/>
        <v>0</v>
      </c>
      <c r="AL92" s="6">
        <f t="shared" si="5"/>
        <v>3.6799999999999997</v>
      </c>
      <c r="AM92" s="30">
        <f t="shared" si="6"/>
        <v>0</v>
      </c>
      <c r="AN92" s="198">
        <v>3.6151768439379772</v>
      </c>
      <c r="AO92" s="196">
        <v>3.9010454322716193</v>
      </c>
      <c r="AP92" s="196">
        <v>6.2452838631228804</v>
      </c>
      <c r="AQ92" s="196">
        <v>0.21428596031337011</v>
      </c>
      <c r="AR92" s="196">
        <v>0.20922361886825863</v>
      </c>
      <c r="AS92" s="196">
        <v>-6.4021767389075016E-2</v>
      </c>
      <c r="AT92" s="196">
        <f t="shared" si="24"/>
        <v>0</v>
      </c>
      <c r="AU92" s="196">
        <f t="shared" si="25"/>
        <v>0</v>
      </c>
      <c r="AV92" s="196">
        <f t="shared" si="9"/>
        <v>0</v>
      </c>
      <c r="AW92" s="196">
        <f t="shared" si="18"/>
        <v>0</v>
      </c>
      <c r="AX92" s="198">
        <f t="shared" si="19"/>
        <v>0</v>
      </c>
      <c r="AY92" s="164"/>
      <c r="AZ92" s="23"/>
      <c r="BA92" s="23"/>
      <c r="BB92" s="23"/>
      <c r="BC92" s="23"/>
      <c r="BD92" s="23"/>
      <c r="BE92" s="23"/>
      <c r="BF92" s="23"/>
      <c r="BG92" s="23"/>
      <c r="BH92" s="23"/>
      <c r="BI92" s="23"/>
      <c r="BJ92" s="23"/>
      <c r="BK92" s="23"/>
      <c r="BL92" s="23"/>
      <c r="BM92" s="23"/>
      <c r="BN92" s="23"/>
    </row>
    <row r="93" spans="1:66">
      <c r="A93" s="23">
        <f t="shared" si="10"/>
        <v>0.12742436144902816</v>
      </c>
      <c r="B93" s="100">
        <v>42</v>
      </c>
      <c r="C93" s="6">
        <f t="shared" si="26"/>
        <v>6.400000000000003</v>
      </c>
      <c r="D93" s="6">
        <f t="shared" si="11"/>
        <v>810.07272727272709</v>
      </c>
      <c r="E93" s="87">
        <v>0.15</v>
      </c>
      <c r="F93" s="87" t="str">
        <f t="shared" si="27"/>
        <v>2nd</v>
      </c>
      <c r="G93" s="87" t="str" cm="1">
        <f t="array" ref="G93">_xlfn.SWITCH(TRUE,
  OR(C93=$F$46, C93=$G$46, C93=$H$46, C93=$I$46), "端リブ",
  C93&lt;$F$46, "0番",
  C93&lt;$G$46, "1番",
  C93&lt;$H$46, "2番",
  C93&lt;$I$46, "3番",
  C93&lt;$J$46, "4番",
  "ウィングレット"
)</f>
        <v>2番</v>
      </c>
      <c r="H93" s="229" t="s">
        <v>942</v>
      </c>
      <c r="I93" s="6">
        <f>'主翼(桁)'!F87*2</f>
        <v>88.222999999999985</v>
      </c>
      <c r="J93" s="6">
        <f>'主翼(桁)'!G87*2</f>
        <v>82.991984877126626</v>
      </c>
      <c r="K93" s="6">
        <f t="shared" si="0"/>
        <v>0.38</v>
      </c>
      <c r="L93" s="6">
        <f>'主翼(平面形結果)'!O250</f>
        <v>113.33132687700079</v>
      </c>
      <c r="M93" s="196">
        <f t="shared" si="13"/>
        <v>25.108326877000806</v>
      </c>
      <c r="N93" s="273">
        <v>4.8456787979586275</v>
      </c>
      <c r="O93" s="196">
        <v>411381.54967961152</v>
      </c>
      <c r="P93" s="196">
        <v>7.2872672633152691</v>
      </c>
      <c r="Q93" s="196">
        <v>9.222912919425548E-2</v>
      </c>
      <c r="R93" s="196">
        <v>-0.68809871261637034</v>
      </c>
      <c r="S93" s="196">
        <v>-0.10087746696158363</v>
      </c>
      <c r="T93" s="196">
        <v>1.1617547932682546</v>
      </c>
      <c r="U93" s="196">
        <v>9.2584463314889787E-3</v>
      </c>
      <c r="V93" s="196">
        <v>5.4298869530712331E-3</v>
      </c>
      <c r="W93" s="196">
        <v>-0.13613301350028684</v>
      </c>
      <c r="X93" s="196">
        <v>-1.9957534173461397E-2</v>
      </c>
      <c r="Y93" s="196">
        <v>0.10220625152346328</v>
      </c>
      <c r="Z93" s="196">
        <v>7.1216337301739131E-4</v>
      </c>
      <c r="AA93" s="196">
        <v>4.4467748923424173</v>
      </c>
      <c r="AB93" s="196">
        <v>4.4993688467861628E-2</v>
      </c>
      <c r="AC93" s="196">
        <v>0.27136096616290711</v>
      </c>
      <c r="AD93" s="181" t="str">
        <f t="shared" si="1"/>
        <v>QX0226.dat</v>
      </c>
      <c r="AE93" s="6">
        <f t="shared" si="17"/>
        <v>100</v>
      </c>
      <c r="AF93" s="6" t="str">
        <f t="shared" si="2"/>
        <v>QX0226.dat</v>
      </c>
      <c r="AG93" s="6" cm="1">
        <f t="array" ref="AG93">IF(AD93=AF93,0,
  _xlfn.SWITCH(TRUE,
    $C93&lt;$H$7,  ($C93-$H$6)/($H$7-$H$6),
    $C93&lt;$H$8,  ($C93-$H$7)/($H$8-$H$7),
    $C93&lt;$H$9,  ($C93-$H$8)/($H$9-$H$8),
    $C93&lt;$H$10, ($C93-$H$9)/($H$10-$H$9),
    $C93&lt;$H$11, ($C93-$H$10)/($H$11-$H$10),
    $C93&lt;$H$12, ($C93-$H$11)/($H$12-$H$11),
    ($C93-$H$12)/($H$13-$H$12)
  )*100
)</f>
        <v>0</v>
      </c>
      <c r="AH93" s="6">
        <f t="shared" si="20"/>
        <v>0.3078276363636363</v>
      </c>
      <c r="AI93" s="6">
        <f t="shared" si="21"/>
        <v>-0.50224509090909075</v>
      </c>
      <c r="AJ93" s="6">
        <f t="shared" si="22"/>
        <v>6.400000000000003</v>
      </c>
      <c r="AK93" s="6">
        <f t="shared" si="23"/>
        <v>0</v>
      </c>
      <c r="AL93" s="6">
        <f t="shared" si="5"/>
        <v>3.6799999999999997</v>
      </c>
      <c r="AM93" s="30">
        <f t="shared" si="6"/>
        <v>0</v>
      </c>
      <c r="AN93" s="198">
        <v>3.6135602897148074</v>
      </c>
      <c r="AO93" s="196">
        <v>3.9954033910086375</v>
      </c>
      <c r="AP93" s="196">
        <v>6.3949363187698607</v>
      </c>
      <c r="AQ93" s="196">
        <v>0.22449098450876687</v>
      </c>
      <c r="AR93" s="196">
        <v>0.21931155167346425</v>
      </c>
      <c r="AS93" s="196">
        <v>-6.5640193803960384E-2</v>
      </c>
      <c r="AT93" s="196">
        <f t="shared" si="24"/>
        <v>0</v>
      </c>
      <c r="AU93" s="196">
        <f t="shared" si="25"/>
        <v>0</v>
      </c>
      <c r="AV93" s="196">
        <f t="shared" si="9"/>
        <v>0</v>
      </c>
      <c r="AW93" s="196">
        <f t="shared" si="18"/>
        <v>0</v>
      </c>
      <c r="AX93" s="198">
        <f t="shared" si="19"/>
        <v>0</v>
      </c>
      <c r="AY93" s="164"/>
      <c r="AZ93" s="23"/>
      <c r="BA93" s="23"/>
      <c r="BB93" s="23"/>
      <c r="BC93" s="23"/>
      <c r="BD93" s="23"/>
      <c r="BE93" s="23"/>
      <c r="BF93" s="23"/>
      <c r="BG93" s="23"/>
      <c r="BH93" s="23"/>
      <c r="BI93" s="23"/>
      <c r="BJ93" s="23"/>
      <c r="BK93" s="23"/>
      <c r="BL93" s="23"/>
      <c r="BM93" s="23"/>
      <c r="BN93" s="23"/>
    </row>
    <row r="94" spans="1:66">
      <c r="A94" s="23">
        <f t="shared" si="10"/>
        <v>0.127074127841038</v>
      </c>
      <c r="B94" s="158">
        <v>43</v>
      </c>
      <c r="C94" s="6">
        <f t="shared" si="26"/>
        <v>6.5500000000000034</v>
      </c>
      <c r="D94" s="6">
        <f t="shared" si="11"/>
        <v>801.56363636363619</v>
      </c>
      <c r="E94" s="87">
        <v>0.15</v>
      </c>
      <c r="F94" s="87" t="str">
        <f t="shared" si="27"/>
        <v>2nd</v>
      </c>
      <c r="G94" s="87" t="str" cm="1">
        <f t="array" ref="G94">_xlfn.SWITCH(TRUE,
  OR(C94=$F$46, C94=$G$46, C94=$H$46, C94=$I$46), "端リブ",
  C94&lt;$F$46, "0番",
  C94&lt;$G$46, "1番",
  C94&lt;$H$46, "2番",
  C94&lt;$I$46, "3番",
  C94&lt;$J$46, "4番",
  "ウィングレット"
)</f>
        <v>2番</v>
      </c>
      <c r="H94" s="229" t="s">
        <v>756</v>
      </c>
      <c r="I94" s="6">
        <f>'主翼(桁)'!F88*2</f>
        <v>86.85799999999999</v>
      </c>
      <c r="J94" s="6">
        <f>'主翼(桁)'!G88*2</f>
        <v>81.701814744801496</v>
      </c>
      <c r="K94" s="6">
        <f t="shared" si="0"/>
        <v>0.38</v>
      </c>
      <c r="L94" s="6">
        <f>'主翼(平面形結果)'!O251</f>
        <v>112.1408824504973</v>
      </c>
      <c r="M94" s="196">
        <f t="shared" si="13"/>
        <v>25.282882450497311</v>
      </c>
      <c r="N94" s="273">
        <v>4.8312268744557452</v>
      </c>
      <c r="O94" s="196">
        <v>407037.53873082862</v>
      </c>
      <c r="P94" s="196">
        <v>7.2003139066187591</v>
      </c>
      <c r="Q94" s="196">
        <v>9.2932770106054025E-2</v>
      </c>
      <c r="R94" s="196">
        <v>-0.67352142563800377</v>
      </c>
      <c r="S94" s="196">
        <v>-9.9433852123375133E-2</v>
      </c>
      <c r="T94" s="196">
        <v>1.160276875086409</v>
      </c>
      <c r="U94" s="196">
        <v>9.2760784218786918E-3</v>
      </c>
      <c r="V94" s="196">
        <v>5.6844046522394115E-3</v>
      </c>
      <c r="W94" s="196">
        <v>-0.13612406383554876</v>
      </c>
      <c r="X94" s="196">
        <v>-2.0096376326907889E-2</v>
      </c>
      <c r="Y94" s="196">
        <v>0.10232255742679633</v>
      </c>
      <c r="Z94" s="196">
        <v>7.0901694743719752E-4</v>
      </c>
      <c r="AA94" s="196">
        <v>4.3942216772704308</v>
      </c>
      <c r="AB94" s="196">
        <v>4.7118968067646969E-2</v>
      </c>
      <c r="AC94" s="196">
        <v>0.28417851236387603</v>
      </c>
      <c r="AD94" s="181" t="str">
        <f t="shared" si="1"/>
        <v>QX0226.dat</v>
      </c>
      <c r="AE94" s="6">
        <f t="shared" si="17"/>
        <v>100</v>
      </c>
      <c r="AF94" s="6" t="str">
        <f t="shared" si="2"/>
        <v>QX0226.dat</v>
      </c>
      <c r="AG94" s="6" cm="1">
        <f t="array" ref="AG94">IF(AD94=AF94,0,
  _xlfn.SWITCH(TRUE,
    $C94&lt;$H$7,  ($C94-$H$6)/($H$7-$H$6),
    $C94&lt;$H$8,  ($C94-$H$7)/($H$8-$H$7),
    $C94&lt;$H$9,  ($C94-$H$8)/($H$9-$H$8),
    $C94&lt;$H$10, ($C94-$H$9)/($H$10-$H$9),
    $C94&lt;$H$11, ($C94-$H$10)/($H$11-$H$10),
    $C94&lt;$H$12, ($C94-$H$11)/($H$12-$H$11),
    ($C94-$H$12)/($H$13-$H$12)
  )*100
)</f>
        <v>0</v>
      </c>
      <c r="AH94" s="6">
        <f t="shared" si="20"/>
        <v>0.30459418181818176</v>
      </c>
      <c r="AI94" s="6">
        <f t="shared" si="21"/>
        <v>-0.49696945454545438</v>
      </c>
      <c r="AJ94" s="6">
        <f t="shared" si="22"/>
        <v>6.5500000000000034</v>
      </c>
      <c r="AK94" s="6">
        <f t="shared" si="23"/>
        <v>0</v>
      </c>
      <c r="AL94" s="6">
        <f t="shared" si="5"/>
        <v>3.6799999999999997</v>
      </c>
      <c r="AM94" s="30">
        <f t="shared" si="6"/>
        <v>0</v>
      </c>
      <c r="AN94" s="198">
        <v>3.6119482934116127</v>
      </c>
      <c r="AO94" s="196">
        <v>4.0889075243858173</v>
      </c>
      <c r="AP94" s="196">
        <v>6.5445717652693185</v>
      </c>
      <c r="AQ94" s="196">
        <v>0.23494245095648855</v>
      </c>
      <c r="AR94" s="196">
        <v>0.22964759207432744</v>
      </c>
      <c r="AS94" s="196">
        <v>-6.7254880930298244E-2</v>
      </c>
      <c r="AT94" s="196">
        <f t="shared" si="24"/>
        <v>0</v>
      </c>
      <c r="AU94" s="196">
        <f t="shared" si="25"/>
        <v>0</v>
      </c>
      <c r="AV94" s="196">
        <f t="shared" si="9"/>
        <v>0</v>
      </c>
      <c r="AW94" s="196">
        <f t="shared" si="18"/>
        <v>0</v>
      </c>
      <c r="AX94" s="198">
        <f t="shared" si="19"/>
        <v>0</v>
      </c>
      <c r="AY94" s="164"/>
      <c r="AZ94" s="23"/>
      <c r="BA94" s="23"/>
      <c r="BB94" s="23"/>
      <c r="BC94" s="23"/>
      <c r="BD94" s="23"/>
      <c r="BE94" s="23"/>
      <c r="BF94" s="23"/>
      <c r="BG94" s="23"/>
      <c r="BH94" s="23"/>
      <c r="BI94" s="23"/>
      <c r="BJ94" s="23"/>
      <c r="BK94" s="23"/>
      <c r="BL94" s="23"/>
      <c r="BM94" s="23"/>
      <c r="BN94" s="23"/>
    </row>
    <row r="95" spans="1:66">
      <c r="A95" s="23">
        <f t="shared" si="10"/>
        <v>0.12671637855931039</v>
      </c>
      <c r="B95" s="100">
        <v>44</v>
      </c>
      <c r="C95" s="6">
        <f t="shared" si="26"/>
        <v>6.7000000000000037</v>
      </c>
      <c r="D95" s="6">
        <f t="shared" si="11"/>
        <v>793.05454545454518</v>
      </c>
      <c r="E95" s="87">
        <v>0.15</v>
      </c>
      <c r="F95" s="87" t="str">
        <f t="shared" si="27"/>
        <v>2nd</v>
      </c>
      <c r="G95" s="87" t="str" cm="1">
        <f t="array" ref="G95">_xlfn.SWITCH(TRUE,
  OR(C95=$F$46, C95=$G$46, C95=$H$46, C95=$I$46), "端リブ",
  C95&lt;$F$46, "0番",
  C95&lt;$G$46, "1番",
  C95&lt;$H$46, "2番",
  C95&lt;$I$46, "3番",
  C95&lt;$J$46, "4番",
  "ウィングレット"
)</f>
        <v>2番</v>
      </c>
      <c r="H95" s="229" t="s">
        <v>942</v>
      </c>
      <c r="I95" s="6">
        <f>'主翼(桁)'!F89*2</f>
        <v>85.492999999999981</v>
      </c>
      <c r="J95" s="6">
        <f>'主翼(桁)'!G89*2</f>
        <v>80.411644612476337</v>
      </c>
      <c r="K95" s="6">
        <f t="shared" si="0"/>
        <v>0.38</v>
      </c>
      <c r="L95" s="6">
        <f>'主翼(平面形結果)'!O252</f>
        <v>110.95043802399384</v>
      </c>
      <c r="M95" s="196">
        <f t="shared" si="13"/>
        <v>25.457438023993859</v>
      </c>
      <c r="N95" s="273">
        <v>4.8146652857795829</v>
      </c>
      <c r="O95" s="196">
        <v>402693.52778204571</v>
      </c>
      <c r="P95" s="196">
        <v>7.1122281340137725</v>
      </c>
      <c r="Q95" s="196">
        <v>9.3847519493043888E-2</v>
      </c>
      <c r="R95" s="196">
        <v>-0.65912066969849525</v>
      </c>
      <c r="S95" s="196">
        <v>-9.810811448748892E-2</v>
      </c>
      <c r="T95" s="196">
        <v>1.1585811530589272</v>
      </c>
      <c r="U95" s="196">
        <v>9.2928305042161707E-3</v>
      </c>
      <c r="V95" s="196">
        <v>5.9801205726569715E-3</v>
      </c>
      <c r="W95" s="196">
        <v>-0.13611901880110955</v>
      </c>
      <c r="X95" s="196">
        <v>-2.026090349521685E-2</v>
      </c>
      <c r="Y95" s="196">
        <v>0.10245499247351299</v>
      </c>
      <c r="Z95" s="196">
        <v>7.0507655940695458E-4</v>
      </c>
      <c r="AA95" s="196">
        <v>4.3409718642811885</v>
      </c>
      <c r="AB95" s="196">
        <v>4.9594948313499858E-2</v>
      </c>
      <c r="AC95" s="196">
        <v>0.29911109571475264</v>
      </c>
      <c r="AD95" s="181" t="str">
        <f t="shared" si="1"/>
        <v>QX0226.dat</v>
      </c>
      <c r="AE95" s="6">
        <f t="shared" si="17"/>
        <v>100</v>
      </c>
      <c r="AF95" s="6" t="str">
        <f t="shared" si="2"/>
        <v>QX0226.dat</v>
      </c>
      <c r="AG95" s="6" cm="1">
        <f t="array" ref="AG95">IF(AD95=AF95,0,
  _xlfn.SWITCH(TRUE,
    $C95&lt;$H$7,  ($C95-$H$6)/($H$7-$H$6),
    $C95&lt;$H$8,  ($C95-$H$7)/($H$8-$H$7),
    $C95&lt;$H$9,  ($C95-$H$8)/($H$9-$H$8),
    $C95&lt;$H$10, ($C95-$H$9)/($H$10-$H$9),
    $C95&lt;$H$11, ($C95-$H$10)/($H$11-$H$10),
    $C95&lt;$H$12, ($C95-$H$11)/($H$12-$H$11),
    ($C95-$H$12)/($H$13-$H$12)
  )*100
)</f>
        <v>0</v>
      </c>
      <c r="AH95" s="6">
        <f t="shared" si="20"/>
        <v>0.30136072727272717</v>
      </c>
      <c r="AI95" s="6">
        <f t="shared" si="21"/>
        <v>-0.49169381818181795</v>
      </c>
      <c r="AJ95" s="6">
        <f t="shared" si="22"/>
        <v>6.7000000000000037</v>
      </c>
      <c r="AK95" s="6">
        <f t="shared" si="23"/>
        <v>0</v>
      </c>
      <c r="AL95" s="6">
        <f t="shared" si="5"/>
        <v>3.6799999999999997</v>
      </c>
      <c r="AM95" s="30">
        <f t="shared" si="6"/>
        <v>0</v>
      </c>
      <c r="AN95" s="198">
        <v>3.6103426445161757</v>
      </c>
      <c r="AO95" s="196">
        <v>4.181533585289003</v>
      </c>
      <c r="AP95" s="196">
        <v>6.6941899561932239</v>
      </c>
      <c r="AQ95" s="196">
        <v>0.24563810169208655</v>
      </c>
      <c r="AR95" s="196">
        <v>0.24022953698639343</v>
      </c>
      <c r="AS95" s="196">
        <v>-6.8864168491806182E-2</v>
      </c>
      <c r="AT95" s="196">
        <f t="shared" si="24"/>
        <v>0</v>
      </c>
      <c r="AU95" s="196">
        <f t="shared" si="25"/>
        <v>0</v>
      </c>
      <c r="AV95" s="196">
        <f t="shared" si="9"/>
        <v>0</v>
      </c>
      <c r="AW95" s="196">
        <f t="shared" si="18"/>
        <v>0</v>
      </c>
      <c r="AX95" s="198">
        <f t="shared" si="19"/>
        <v>0</v>
      </c>
      <c r="AY95" s="164"/>
      <c r="AZ95" s="23"/>
      <c r="BA95" s="23"/>
      <c r="BB95" s="23"/>
      <c r="BC95" s="23"/>
      <c r="BD95" s="23"/>
      <c r="BE95" s="23"/>
      <c r="BF95" s="23"/>
      <c r="BG95" s="23"/>
      <c r="BH95" s="23"/>
      <c r="BI95" s="23"/>
      <c r="BJ95" s="23"/>
      <c r="BK95" s="23"/>
      <c r="BL95" s="23"/>
      <c r="BM95" s="23"/>
      <c r="BN95" s="23"/>
    </row>
    <row r="96" spans="1:66">
      <c r="A96" s="23">
        <f t="shared" si="10"/>
        <v>0.12635086906141371</v>
      </c>
      <c r="B96" s="158">
        <v>45</v>
      </c>
      <c r="C96" s="6">
        <f t="shared" si="26"/>
        <v>6.8500000000000041</v>
      </c>
      <c r="D96" s="6">
        <f t="shared" si="11"/>
        <v>784.54545454545416</v>
      </c>
      <c r="E96" s="87">
        <v>0.15</v>
      </c>
      <c r="F96" s="87" t="str">
        <f t="shared" si="27"/>
        <v>2nd</v>
      </c>
      <c r="G96" s="87" t="str" cm="1">
        <f t="array" ref="G96">_xlfn.SWITCH(TRUE,
  OR(C96=$F$46, C96=$G$46, C96=$H$46, C96=$I$46), "端リブ",
  C96&lt;$F$46, "0番",
  C96&lt;$G$46, "1番",
  C96&lt;$H$46, "2番",
  C96&lt;$I$46, "3番",
  C96&lt;$J$46, "4番",
  "ウィングレット"
)</f>
        <v>2番</v>
      </c>
      <c r="H96" s="229" t="s">
        <v>756</v>
      </c>
      <c r="I96" s="6">
        <f>'主翼(桁)'!F90*2</f>
        <v>84.127999999999972</v>
      </c>
      <c r="J96" s="6">
        <f>'主翼(桁)'!G90*2</f>
        <v>79.121474480151193</v>
      </c>
      <c r="K96" s="6">
        <f t="shared" si="0"/>
        <v>0.38</v>
      </c>
      <c r="L96" s="6">
        <f>'主翼(平面形結果)'!O253</f>
        <v>109.75999359749034</v>
      </c>
      <c r="M96" s="196">
        <f t="shared" si="13"/>
        <v>25.631993597490364</v>
      </c>
      <c r="N96" s="273">
        <v>4.7954151311004463</v>
      </c>
      <c r="O96" s="196">
        <v>398349.51683326287</v>
      </c>
      <c r="P96" s="196">
        <v>7.0226891037023647</v>
      </c>
      <c r="Q96" s="196">
        <v>9.5030403990101597E-2</v>
      </c>
      <c r="R96" s="196">
        <v>-0.64490024046699923</v>
      </c>
      <c r="S96" s="196">
        <v>-9.6926193967925303E-2</v>
      </c>
      <c r="T96" s="196">
        <v>1.1566074059838094</v>
      </c>
      <c r="U96" s="196">
        <v>9.308337088190094E-3</v>
      </c>
      <c r="V96" s="196">
        <v>6.3281259692335437E-3</v>
      </c>
      <c r="W96" s="196">
        <v>-0.1361189273488943</v>
      </c>
      <c r="X96" s="196">
        <v>-2.0458186750513391E-2</v>
      </c>
      <c r="Y96" s="196">
        <v>0.10260778664855981</v>
      </c>
      <c r="Z96" s="196">
        <v>7.0012558949075288E-4</v>
      </c>
      <c r="AA96" s="196">
        <v>4.2868286603128283</v>
      </c>
      <c r="AB96" s="196">
        <v>5.2517896033400006E-2</v>
      </c>
      <c r="AC96" s="196">
        <v>0.3167392777853853</v>
      </c>
      <c r="AD96" s="181" t="str">
        <f t="shared" si="1"/>
        <v>QX0226.dat</v>
      </c>
      <c r="AE96" s="6">
        <f t="shared" si="17"/>
        <v>100</v>
      </c>
      <c r="AF96" s="6" t="str">
        <f t="shared" si="2"/>
        <v>QX0226.dat</v>
      </c>
      <c r="AG96" s="6" cm="1">
        <f t="array" ref="AG96">IF(AD96=AF96,0,
  _xlfn.SWITCH(TRUE,
    $C96&lt;$H$7,  ($C96-$H$6)/($H$7-$H$6),
    $C96&lt;$H$8,  ($C96-$H$7)/($H$8-$H$7),
    $C96&lt;$H$9,  ($C96-$H$8)/($H$9-$H$8),
    $C96&lt;$H$10, ($C96-$H$9)/($H$10-$H$9),
    $C96&lt;$H$11, ($C96-$H$10)/($H$11-$H$10),
    $C96&lt;$H$12, ($C96-$H$11)/($H$12-$H$11),
    ($C96-$H$12)/($H$13-$H$12)
  )*100
)</f>
        <v>0</v>
      </c>
      <c r="AH96" s="6">
        <f t="shared" si="20"/>
        <v>0.29812727272727263</v>
      </c>
      <c r="AI96" s="6">
        <f t="shared" si="21"/>
        <v>-0.48641818181818158</v>
      </c>
      <c r="AJ96" s="6">
        <f t="shared" si="22"/>
        <v>6.8500000000000041</v>
      </c>
      <c r="AK96" s="6">
        <f t="shared" si="23"/>
        <v>0</v>
      </c>
      <c r="AL96" s="6">
        <f t="shared" si="5"/>
        <v>3.6799999999999997</v>
      </c>
      <c r="AM96" s="30">
        <f t="shared" si="6"/>
        <v>0</v>
      </c>
      <c r="AN96" s="198">
        <v>3.6087454223337132</v>
      </c>
      <c r="AO96" s="196">
        <v>4.2732579256846446</v>
      </c>
      <c r="AP96" s="196">
        <v>6.8437906607047285</v>
      </c>
      <c r="AQ96" s="196">
        <v>0.25657561556231417</v>
      </c>
      <c r="AR96" s="196">
        <v>0.25105511920071122</v>
      </c>
      <c r="AS96" s="196">
        <v>-7.0466136571145116E-2</v>
      </c>
      <c r="AT96" s="196">
        <f t="shared" si="24"/>
        <v>0</v>
      </c>
      <c r="AU96" s="196">
        <f t="shared" si="25"/>
        <v>0</v>
      </c>
      <c r="AV96" s="196">
        <f t="shared" si="9"/>
        <v>0</v>
      </c>
      <c r="AW96" s="196">
        <f t="shared" si="18"/>
        <v>0</v>
      </c>
      <c r="AX96" s="198">
        <f t="shared" si="19"/>
        <v>0</v>
      </c>
      <c r="AY96" s="164"/>
      <c r="AZ96" s="23"/>
      <c r="BA96" s="23"/>
      <c r="BB96" s="23"/>
      <c r="BC96" s="23"/>
      <c r="BD96" s="23"/>
      <c r="BE96" s="23"/>
      <c r="BF96" s="23"/>
      <c r="BG96" s="23"/>
      <c r="BH96" s="23"/>
      <c r="BI96" s="23"/>
      <c r="BJ96" s="23"/>
      <c r="BK96" s="23"/>
      <c r="BL96" s="23"/>
      <c r="BM96" s="23"/>
      <c r="BN96" s="23"/>
    </row>
    <row r="97" spans="1:66">
      <c r="A97" s="23">
        <f t="shared" si="10"/>
        <v>0.12597734407947142</v>
      </c>
      <c r="B97" s="100">
        <v>46</v>
      </c>
      <c r="C97" s="6">
        <f t="shared" si="26"/>
        <v>7.0000000000000044</v>
      </c>
      <c r="D97" s="6">
        <f t="shared" si="11"/>
        <v>776.03636363636338</v>
      </c>
      <c r="E97" s="87">
        <v>0.15</v>
      </c>
      <c r="F97" s="87" t="str">
        <f t="shared" si="27"/>
        <v>2nd</v>
      </c>
      <c r="G97" s="87" t="str" cm="1">
        <f t="array" ref="G97">_xlfn.SWITCH(TRUE,
  OR(C97=$F$46, C97=$G$46, C97=$H$46, C97=$I$46), "端リブ",
  C97&lt;$F$46, "0番",
  C97&lt;$G$46, "1番",
  C97&lt;$H$46, "2番",
  C97&lt;$I$46, "3番",
  C97&lt;$J$46, "4番",
  "ウィングレット"
)</f>
        <v>2番</v>
      </c>
      <c r="H97" s="229" t="s">
        <v>942</v>
      </c>
      <c r="I97" s="6">
        <f>'主翼(桁)'!F91*2</f>
        <v>82.762999999999963</v>
      </c>
      <c r="J97" s="6">
        <f>'主翼(桁)'!G91*2</f>
        <v>77.831304347826034</v>
      </c>
      <c r="K97" s="6">
        <f t="shared" si="0"/>
        <v>0.38</v>
      </c>
      <c r="L97" s="6">
        <f>'主翼(平面形結果)'!O254</f>
        <v>108.56954917098685</v>
      </c>
      <c r="M97" s="196">
        <f t="shared" si="13"/>
        <v>25.806549170986884</v>
      </c>
      <c r="N97" s="273">
        <v>4.7726152533823614</v>
      </c>
      <c r="O97" s="196">
        <v>394005.50588447991</v>
      </c>
      <c r="P97" s="196">
        <v>6.9312149115694819</v>
      </c>
      <c r="Q97" s="196">
        <v>9.6566467309735587E-2</v>
      </c>
      <c r="R97" s="196">
        <v>-0.63086577707950631</v>
      </c>
      <c r="S97" s="196">
        <v>-9.5927212413503923E-2</v>
      </c>
      <c r="T97" s="196">
        <v>1.1542659127698349</v>
      </c>
      <c r="U97" s="196">
        <v>9.3220559026213901E-3</v>
      </c>
      <c r="V97" s="196">
        <v>6.7448329130142875E-3</v>
      </c>
      <c r="W97" s="196">
        <v>-0.13612532543257239</v>
      </c>
      <c r="X97" s="196">
        <v>-2.0698734155588913E-2</v>
      </c>
      <c r="Y97" s="196">
        <v>0.10278716974485705</v>
      </c>
      <c r="Z97" s="196">
        <v>6.9384449747524448E-4</v>
      </c>
      <c r="AA97" s="196">
        <v>4.2314968629082959</v>
      </c>
      <c r="AB97" s="196">
        <v>5.6030924276812479E-2</v>
      </c>
      <c r="AC97" s="196">
        <v>0.33792613250669984</v>
      </c>
      <c r="AD97" s="181" t="str">
        <f t="shared" si="1"/>
        <v>QX0226.dat</v>
      </c>
      <c r="AE97" s="6">
        <f t="shared" si="17"/>
        <v>100</v>
      </c>
      <c r="AF97" s="6" t="str">
        <f t="shared" si="2"/>
        <v>QX0226.dat</v>
      </c>
      <c r="AG97" s="6" cm="1">
        <f t="array" ref="AG97">IF(AD97=AF97,0,
  _xlfn.SWITCH(TRUE,
    $C97&lt;$H$7,  ($C97-$H$6)/($H$7-$H$6),
    $C97&lt;$H$8,  ($C97-$H$7)/($H$8-$H$7),
    $C97&lt;$H$9,  ($C97-$H$8)/($H$9-$H$8),
    $C97&lt;$H$10, ($C97-$H$9)/($H$10-$H$9),
    $C97&lt;$H$11, ($C97-$H$10)/($H$11-$H$10),
    $C97&lt;$H$12, ($C97-$H$11)/($H$12-$H$11),
    ($C97-$H$12)/($H$13-$H$12)
  )*100
)</f>
        <v>0</v>
      </c>
      <c r="AH97" s="6">
        <f t="shared" si="20"/>
        <v>0.29489381818181803</v>
      </c>
      <c r="AI97" s="6">
        <f t="shared" si="21"/>
        <v>-0.48114254545454538</v>
      </c>
      <c r="AJ97" s="6">
        <f t="shared" si="22"/>
        <v>7.0000000000000044</v>
      </c>
      <c r="AK97" s="6">
        <f t="shared" si="23"/>
        <v>0</v>
      </c>
      <c r="AL97" s="6">
        <f t="shared" si="5"/>
        <v>3.6799999999999997</v>
      </c>
      <c r="AM97" s="30">
        <f t="shared" si="6"/>
        <v>0</v>
      </c>
      <c r="AN97" s="198">
        <v>3.6071590679857737</v>
      </c>
      <c r="AO97" s="196">
        <v>4.3640577091334247</v>
      </c>
      <c r="AP97" s="196">
        <v>6.9933736637456869</v>
      </c>
      <c r="AQ97" s="196">
        <v>0.26775260984738647</v>
      </c>
      <c r="AR97" s="196">
        <v>0.26212200868674573</v>
      </c>
      <c r="AS97" s="196">
        <v>-7.2058545132347357E-2</v>
      </c>
      <c r="AT97" s="196">
        <f t="shared" si="24"/>
        <v>0</v>
      </c>
      <c r="AU97" s="196">
        <f t="shared" si="25"/>
        <v>0</v>
      </c>
      <c r="AV97" s="196">
        <f t="shared" si="9"/>
        <v>0</v>
      </c>
      <c r="AW97" s="196">
        <f t="shared" si="18"/>
        <v>0</v>
      </c>
      <c r="AX97" s="198">
        <f t="shared" si="19"/>
        <v>0</v>
      </c>
      <c r="AY97" s="164"/>
      <c r="AZ97" s="23"/>
      <c r="BA97" s="23"/>
      <c r="BB97" s="23"/>
      <c r="BC97" s="23"/>
      <c r="BD97" s="23"/>
      <c r="BE97" s="23"/>
      <c r="BF97" s="23"/>
      <c r="BG97" s="23"/>
      <c r="BH97" s="23"/>
      <c r="BI97" s="23"/>
      <c r="BJ97" s="23"/>
      <c r="BK97" s="23"/>
      <c r="BL97" s="23"/>
      <c r="BM97" s="23"/>
      <c r="BN97" s="23"/>
    </row>
    <row r="98" spans="1:66">
      <c r="A98" s="23">
        <f t="shared" si="10"/>
        <v>0.12559553702563134</v>
      </c>
      <c r="B98" s="158">
        <v>47</v>
      </c>
      <c r="C98" s="6">
        <f t="shared" si="26"/>
        <v>7.1500000000000048</v>
      </c>
      <c r="D98" s="6">
        <f t="shared" si="11"/>
        <v>767.52727272727236</v>
      </c>
      <c r="E98" s="87">
        <v>0.15</v>
      </c>
      <c r="F98" s="87" t="str">
        <f t="shared" si="27"/>
        <v>2nd</v>
      </c>
      <c r="G98" s="87" t="str" cm="1">
        <f t="array" ref="G98">_xlfn.SWITCH(TRUE,
  OR(C98=$F$46, C98=$G$46, C98=$H$46, C98=$I$46), "端リブ",
  C98&lt;$F$46, "0番",
  C98&lt;$G$46, "1番",
  C98&lt;$H$46, "2番",
  C98&lt;$I$46, "3番",
  C98&lt;$J$46, "4番",
  "ウィングレット"
)</f>
        <v>2番</v>
      </c>
      <c r="H98" s="229" t="s">
        <v>756</v>
      </c>
      <c r="I98" s="6">
        <f>'主翼(桁)'!F92*2</f>
        <v>81.397999999999968</v>
      </c>
      <c r="J98" s="6">
        <f>'主翼(桁)'!G92*2</f>
        <v>76.541134215500904</v>
      </c>
      <c r="K98" s="6">
        <f t="shared" si="0"/>
        <v>0.38</v>
      </c>
      <c r="L98" s="6">
        <f>'主翼(平面形結果)'!O255</f>
        <v>107.37910474448334</v>
      </c>
      <c r="M98" s="196">
        <f t="shared" si="13"/>
        <v>25.981104744483375</v>
      </c>
      <c r="N98" s="273">
        <v>4.7448800833803988</v>
      </c>
      <c r="O98" s="196">
        <v>389661.494935697</v>
      </c>
      <c r="P98" s="196">
        <v>6.8370218708548718</v>
      </c>
      <c r="Q98" s="196">
        <v>9.8593067406846188E-2</v>
      </c>
      <c r="R98" s="196">
        <v>-0.61702637209040356</v>
      </c>
      <c r="S98" s="196">
        <v>-9.5175139111335558E-2</v>
      </c>
      <c r="T98" s="196">
        <v>1.151412093348978</v>
      </c>
      <c r="U98" s="196">
        <v>9.3331192891365211E-3</v>
      </c>
      <c r="V98" s="196">
        <v>7.2565058079157143E-3</v>
      </c>
      <c r="W98" s="196">
        <v>-0.13614064350953325</v>
      </c>
      <c r="X98" s="196">
        <v>-2.0999434174635484E-2</v>
      </c>
      <c r="Y98" s="196">
        <v>0.10300306215131193</v>
      </c>
      <c r="Z98" s="196">
        <v>6.857238922829815E-4</v>
      </c>
      <c r="AA98" s="196">
        <v>4.1744968813500538</v>
      </c>
      <c r="AB98" s="196">
        <v>6.0364168880178447E-2</v>
      </c>
      <c r="AC98" s="196">
        <v>0.36405953313272382</v>
      </c>
      <c r="AD98" s="181" t="str">
        <f t="shared" si="1"/>
        <v>QX0226.dat</v>
      </c>
      <c r="AE98" s="6">
        <f t="shared" si="17"/>
        <v>100</v>
      </c>
      <c r="AF98" s="6" t="str">
        <f t="shared" si="2"/>
        <v>QX0226.dat</v>
      </c>
      <c r="AG98" s="6" cm="1">
        <f t="array" ref="AG98">IF(AD98=AF98,0,
  _xlfn.SWITCH(TRUE,
    $C98&lt;$H$7,  ($C98-$H$6)/($H$7-$H$6),
    $C98&lt;$H$8,  ($C98-$H$7)/($H$8-$H$7),
    $C98&lt;$H$9,  ($C98-$H$8)/($H$9-$H$8),
    $C98&lt;$H$10, ($C98-$H$9)/($H$10-$H$9),
    $C98&lt;$H$11, ($C98-$H$10)/($H$11-$H$10),
    $C98&lt;$H$12, ($C98-$H$11)/($H$12-$H$11),
    ($C98-$H$12)/($H$13-$H$12)
  )*100
)</f>
        <v>0</v>
      </c>
      <c r="AH98" s="6">
        <f t="shared" si="20"/>
        <v>0.2916603636363635</v>
      </c>
      <c r="AI98" s="6">
        <f t="shared" si="21"/>
        <v>-0.4758669090909089</v>
      </c>
      <c r="AJ98" s="6">
        <f t="shared" si="22"/>
        <v>7.1500000000000048</v>
      </c>
      <c r="AK98" s="6">
        <f t="shared" si="23"/>
        <v>0</v>
      </c>
      <c r="AL98" s="6">
        <f t="shared" si="5"/>
        <v>3.6799999999999997</v>
      </c>
      <c r="AM98" s="30">
        <f t="shared" si="6"/>
        <v>0</v>
      </c>
      <c r="AN98" s="198">
        <v>3.6055864875133325</v>
      </c>
      <c r="AO98" s="196">
        <v>4.4539111379044334</v>
      </c>
      <c r="AP98" s="196">
        <v>7.1429387661594541</v>
      </c>
      <c r="AQ98" s="196">
        <v>0.27916664243711253</v>
      </c>
      <c r="AR98" s="196">
        <v>0.2734278144267121</v>
      </c>
      <c r="AS98" s="196">
        <v>-7.3638750500564301E-2</v>
      </c>
      <c r="AT98" s="196">
        <f t="shared" si="24"/>
        <v>0</v>
      </c>
      <c r="AU98" s="196">
        <f t="shared" si="25"/>
        <v>0</v>
      </c>
      <c r="AV98" s="196">
        <f t="shared" si="9"/>
        <v>0</v>
      </c>
      <c r="AW98" s="196">
        <f t="shared" si="18"/>
        <v>0</v>
      </c>
      <c r="AX98" s="198">
        <f t="shared" si="19"/>
        <v>0</v>
      </c>
      <c r="AY98" s="164"/>
      <c r="AZ98" s="23"/>
      <c r="BA98" s="23"/>
      <c r="BB98" s="23"/>
      <c r="BC98" s="23"/>
      <c r="BD98" s="23"/>
      <c r="BE98" s="23"/>
      <c r="BF98" s="23"/>
      <c r="BG98" s="23"/>
      <c r="BH98" s="23"/>
      <c r="BI98" s="23"/>
      <c r="BJ98" s="23"/>
      <c r="BK98" s="23"/>
      <c r="BL98" s="23"/>
      <c r="BM98" s="23"/>
      <c r="BN98" s="23"/>
    </row>
    <row r="99" spans="1:66">
      <c r="A99" s="23">
        <f t="shared" si="10"/>
        <v>0.12520516935754325</v>
      </c>
      <c r="B99" s="100">
        <v>48</v>
      </c>
      <c r="C99" s="6">
        <f t="shared" si="26"/>
        <v>7.3000000000000052</v>
      </c>
      <c r="D99" s="6">
        <f t="shared" si="11"/>
        <v>759.01818181818146</v>
      </c>
      <c r="E99" s="87">
        <v>0.15</v>
      </c>
      <c r="F99" s="87" t="str">
        <f t="shared" si="27"/>
        <v>2nd</v>
      </c>
      <c r="G99" s="87" t="str" cm="1">
        <f t="array" ref="G99">_xlfn.SWITCH(TRUE,
  OR(C99=$F$46, C99=$G$46, C99=$H$46, C99=$I$46), "端リブ",
  C99&lt;$F$46, "0番",
  C99&lt;$G$46, "1番",
  C99&lt;$H$46, "2番",
  C99&lt;$I$46, "3番",
  C99&lt;$J$46, "4番",
  "ウィングレット"
)</f>
        <v>2番</v>
      </c>
      <c r="H99" s="229" t="s">
        <v>942</v>
      </c>
      <c r="I99" s="6">
        <f>'主翼(桁)'!F93*2</f>
        <v>80.032999999999959</v>
      </c>
      <c r="J99" s="6">
        <f>'主翼(桁)'!G93*2</f>
        <v>75.250964083175759</v>
      </c>
      <c r="K99" s="6">
        <f t="shared" si="0"/>
        <v>0.38</v>
      </c>
      <c r="L99" s="6">
        <f>'主翼(平面形結果)'!O256</f>
        <v>106.18866031797987</v>
      </c>
      <c r="M99" s="196">
        <f t="shared" si="13"/>
        <v>26.155660317979908</v>
      </c>
      <c r="N99" s="273">
        <v>4.7096577976865239</v>
      </c>
      <c r="O99" s="196">
        <v>385317.4839869141</v>
      </c>
      <c r="P99" s="196">
        <v>6.7386483510273916</v>
      </c>
      <c r="Q99" s="196">
        <v>0.10136488062301049</v>
      </c>
      <c r="R99" s="196">
        <v>-0.60339892529934558</v>
      </c>
      <c r="S99" s="196">
        <v>-9.4790251939620152E-2</v>
      </c>
      <c r="T99" s="196">
        <v>1.1477793141877992</v>
      </c>
      <c r="U99" s="196">
        <v>9.3399405005787084E-3</v>
      </c>
      <c r="V99" s="196">
        <v>7.9112714324999587E-3</v>
      </c>
      <c r="W99" s="196">
        <v>-0.13616928710374199</v>
      </c>
      <c r="X99" s="196">
        <v>-2.1391355684962088E-2</v>
      </c>
      <c r="Y99" s="196">
        <v>0.10327356218051252</v>
      </c>
      <c r="Z99" s="196">
        <v>6.7483469105049853E-4</v>
      </c>
      <c r="AA99" s="196">
        <v>4.1149349223668832</v>
      </c>
      <c r="AB99" s="196">
        <v>6.594119662011573E-2</v>
      </c>
      <c r="AC99" s="196">
        <v>0.39769385126880946</v>
      </c>
      <c r="AD99" s="181" t="str">
        <f t="shared" si="1"/>
        <v>QX0226.dat</v>
      </c>
      <c r="AE99" s="6">
        <f t="shared" si="17"/>
        <v>100</v>
      </c>
      <c r="AF99" s="6" t="str">
        <f t="shared" si="2"/>
        <v>QX0226.dat</v>
      </c>
      <c r="AG99" s="6" cm="1">
        <f t="array" ref="AG99">IF(AD99=AF99,0,
  _xlfn.SWITCH(TRUE,
    $C99&lt;$H$7,  ($C99-$H$6)/($H$7-$H$6),
    $C99&lt;$H$8,  ($C99-$H$7)/($H$8-$H$7),
    $C99&lt;$H$9,  ($C99-$H$8)/($H$9-$H$8),
    $C99&lt;$H$10, ($C99-$H$9)/($H$10-$H$9),
    $C99&lt;$H$11, ($C99-$H$10)/($H$11-$H$10),
    $C99&lt;$H$12, ($C99-$H$11)/($H$12-$H$11),
    ($C99-$H$12)/($H$13-$H$12)
  )*100
)</f>
        <v>0</v>
      </c>
      <c r="AH99" s="6">
        <f t="shared" si="20"/>
        <v>0.28842690909090896</v>
      </c>
      <c r="AI99" s="6">
        <f t="shared" si="21"/>
        <v>-0.47059127272727252</v>
      </c>
      <c r="AJ99" s="6">
        <f t="shared" si="22"/>
        <v>7.3000000000000052</v>
      </c>
      <c r="AK99" s="6">
        <f t="shared" si="23"/>
        <v>0</v>
      </c>
      <c r="AL99" s="6">
        <f t="shared" si="5"/>
        <v>3.6799999999999997</v>
      </c>
      <c r="AM99" s="30">
        <f t="shared" si="6"/>
        <v>0</v>
      </c>
      <c r="AN99" s="198">
        <v>3.6040312138622426</v>
      </c>
      <c r="AO99" s="196">
        <v>4.5427976768913236</v>
      </c>
      <c r="AP99" s="196">
        <v>7.2924857847409079</v>
      </c>
      <c r="AQ99" s="196">
        <v>0.29081521459847037</v>
      </c>
      <c r="AR99" s="196">
        <v>0.28497008683123592</v>
      </c>
      <c r="AS99" s="196">
        <v>-7.5203582680613293E-2</v>
      </c>
      <c r="AT99" s="196">
        <f t="shared" si="24"/>
        <v>0</v>
      </c>
      <c r="AU99" s="196">
        <f t="shared" si="25"/>
        <v>0</v>
      </c>
      <c r="AV99" s="196">
        <f t="shared" si="9"/>
        <v>0</v>
      </c>
      <c r="AW99" s="196">
        <f t="shared" si="18"/>
        <v>0</v>
      </c>
      <c r="AX99" s="198">
        <f t="shared" si="19"/>
        <v>0</v>
      </c>
      <c r="AY99" s="164"/>
      <c r="AZ99" s="23"/>
      <c r="BA99" s="23"/>
      <c r="BB99" s="23"/>
      <c r="BC99" s="23"/>
      <c r="BD99" s="23"/>
      <c r="BE99" s="23"/>
      <c r="BF99" s="23"/>
      <c r="BG99" s="23"/>
      <c r="BH99" s="23"/>
      <c r="BI99" s="23"/>
      <c r="BJ99" s="23"/>
      <c r="BK99" s="23"/>
      <c r="BL99" s="23"/>
      <c r="BM99" s="23"/>
      <c r="BN99" s="23"/>
    </row>
    <row r="100" spans="1:66">
      <c r="A100" s="23">
        <f t="shared" si="10"/>
        <v>0.12480594990067349</v>
      </c>
      <c r="B100" s="158">
        <v>49</v>
      </c>
      <c r="C100" s="6">
        <f t="shared" si="26"/>
        <v>7.4500000000000055</v>
      </c>
      <c r="D100" s="6">
        <f t="shared" si="11"/>
        <v>750.50909090909056</v>
      </c>
      <c r="E100" s="87">
        <v>0.15</v>
      </c>
      <c r="F100" s="87" t="str">
        <f t="shared" si="27"/>
        <v>2nd</v>
      </c>
      <c r="G100" s="87" t="str" cm="1">
        <f t="array" ref="G100">_xlfn.SWITCH(TRUE,
  OR(C100=$F$46, C100=$G$46, C100=$H$46, C100=$I$46), "端リブ",
  C100&lt;$F$46, "0番",
  C100&lt;$G$46, "1番",
  C100&lt;$H$46, "2番",
  C100&lt;$I$46, "3番",
  C100&lt;$J$46, "4番",
  "ウィングレット"
)</f>
        <v>2番</v>
      </c>
      <c r="H100" s="229" t="s">
        <v>756</v>
      </c>
      <c r="I100" s="6">
        <f>'主翼(桁)'!F94*2</f>
        <v>78.667999999999964</v>
      </c>
      <c r="J100" s="6">
        <f>'主翼(桁)'!G94*2</f>
        <v>73.960793950850615</v>
      </c>
      <c r="K100" s="6">
        <f t="shared" si="0"/>
        <v>0.38</v>
      </c>
      <c r="L100" s="6">
        <f>'主翼(平面形結果)'!O257</f>
        <v>104.99821589147636</v>
      </c>
      <c r="M100" s="196">
        <f t="shared" si="13"/>
        <v>26.330215891476399</v>
      </c>
      <c r="N100" s="273">
        <v>4.6599014968044834</v>
      </c>
      <c r="O100" s="196">
        <v>380973.47303813114</v>
      </c>
      <c r="P100" s="196">
        <v>6.594776987003959</v>
      </c>
      <c r="Q100" s="196">
        <v>0.10529565763398727</v>
      </c>
      <c r="R100" s="196">
        <v>-0.58672232601499064</v>
      </c>
      <c r="S100" s="196">
        <v>-9.4584095733917198E-2</v>
      </c>
      <c r="T100" s="196">
        <v>1.1426314376180655</v>
      </c>
      <c r="U100" s="196">
        <v>9.3381297814848496E-3</v>
      </c>
      <c r="V100" s="196">
        <v>8.891891377095798E-3</v>
      </c>
      <c r="W100" s="196">
        <v>-0.13622338879754092</v>
      </c>
      <c r="X100" s="196">
        <v>-2.1960245035734391E-2</v>
      </c>
      <c r="Y100" s="196">
        <v>0.10364867522497347</v>
      </c>
      <c r="Z100" s="196">
        <v>6.5862835565250666E-4</v>
      </c>
      <c r="AA100" s="196">
        <v>4.0502960444832796</v>
      </c>
      <c r="AB100" s="196">
        <v>7.3931762533997122E-2</v>
      </c>
      <c r="AC100" s="196">
        <v>0.44588341602895781</v>
      </c>
      <c r="AD100" s="181" t="str">
        <f t="shared" si="1"/>
        <v>QX0226.dat</v>
      </c>
      <c r="AE100" s="6">
        <f t="shared" si="17"/>
        <v>100</v>
      </c>
      <c r="AF100" s="6" t="str">
        <f t="shared" si="2"/>
        <v>QX0226.dat</v>
      </c>
      <c r="AG100" s="6" cm="1">
        <f t="array" ref="AG100">IF(AD100=AF100,0,
  _xlfn.SWITCH(TRUE,
    $C100&lt;$H$7,  ($C100-$H$6)/($H$7-$H$6),
    $C100&lt;$H$8,  ($C100-$H$7)/($H$8-$H$7),
    $C100&lt;$H$9,  ($C100-$H$8)/($H$9-$H$8),
    $C100&lt;$H$10, ($C100-$H$9)/($H$10-$H$9),
    $C100&lt;$H$11, ($C100-$H$10)/($H$11-$H$10),
    $C100&lt;$H$12, ($C100-$H$11)/($H$12-$H$11),
    ($C100-$H$12)/($H$13-$H$12)
  )*100
)</f>
        <v>0</v>
      </c>
      <c r="AH100" s="6">
        <f t="shared" si="20"/>
        <v>0.28519345454545442</v>
      </c>
      <c r="AI100" s="6">
        <f t="shared" si="21"/>
        <v>-0.46531563636363615</v>
      </c>
      <c r="AJ100" s="6">
        <f t="shared" si="22"/>
        <v>7.4500000000000055</v>
      </c>
      <c r="AK100" s="6">
        <f t="shared" si="23"/>
        <v>0</v>
      </c>
      <c r="AL100" s="6">
        <f t="shared" si="5"/>
        <v>3.6799999999999997</v>
      </c>
      <c r="AM100" s="30">
        <f t="shared" si="6"/>
        <v>0</v>
      </c>
      <c r="AN100" s="198">
        <v>3.602504073765707</v>
      </c>
      <c r="AO100" s="196">
        <v>7.6306723302062274</v>
      </c>
      <c r="AP100" s="196">
        <v>7.4420145522091365</v>
      </c>
      <c r="AQ100" s="196">
        <v>0.3026957743257041</v>
      </c>
      <c r="AR100" s="196">
        <v>0.29674632076289686</v>
      </c>
      <c r="AS100" s="196">
        <v>-7.6749144081687148E-2</v>
      </c>
      <c r="AT100" s="196">
        <f t="shared" si="24"/>
        <v>0</v>
      </c>
      <c r="AU100" s="196">
        <f t="shared" si="25"/>
        <v>0</v>
      </c>
      <c r="AV100" s="196">
        <f t="shared" si="9"/>
        <v>0</v>
      </c>
      <c r="AW100" s="196">
        <f t="shared" si="18"/>
        <v>0</v>
      </c>
      <c r="AX100" s="198">
        <f t="shared" si="19"/>
        <v>0</v>
      </c>
      <c r="AY100" s="164"/>
      <c r="AZ100" s="23"/>
      <c r="BA100" s="23"/>
      <c r="BB100" s="23"/>
      <c r="BC100" s="23"/>
      <c r="BD100" s="23"/>
      <c r="BE100" s="23"/>
      <c r="BF100" s="23"/>
      <c r="BG100" s="23"/>
      <c r="BH100" s="23"/>
      <c r="BI100" s="23"/>
      <c r="BJ100" s="23"/>
      <c r="BK100" s="23"/>
      <c r="BL100" s="23"/>
      <c r="BM100" s="23"/>
      <c r="BN100" s="23"/>
    </row>
    <row r="101" spans="1:66">
      <c r="A101" s="23">
        <f t="shared" si="10"/>
        <v>0.12439757412398933</v>
      </c>
      <c r="B101" s="100">
        <v>50</v>
      </c>
      <c r="C101" s="6">
        <f t="shared" si="26"/>
        <v>7.6000000000000059</v>
      </c>
      <c r="D101" s="6">
        <f t="shared" si="11"/>
        <v>741.99999999999898</v>
      </c>
      <c r="E101" s="87">
        <v>0.15</v>
      </c>
      <c r="F101" s="87" t="str">
        <f t="shared" si="27"/>
        <v>3rd</v>
      </c>
      <c r="G101" s="87" t="str" cm="1">
        <f t="array" ref="G101">_xlfn.SWITCH(TRUE,
  OR(C101=$F$46, C101=$G$46, C101=$H$46, C101=$I$46), "端リブ",
  C101&lt;$F$46, "0番",
  C101&lt;$G$46, "1番",
  C101&lt;$H$46, "2番",
  C101&lt;$I$46, "3番",
  C101&lt;$J$46, "4番",
  "ウィングレット"
)</f>
        <v>2番</v>
      </c>
      <c r="H101" s="229" t="s">
        <v>756</v>
      </c>
      <c r="I101" s="6">
        <f>'主翼(桁)'!F95*2</f>
        <v>77.302999999999955</v>
      </c>
      <c r="J101" s="6">
        <f>'主翼(桁)'!G95*2</f>
        <v>72.67062381852547</v>
      </c>
      <c r="K101" s="6">
        <f t="shared" si="0"/>
        <v>0.38</v>
      </c>
      <c r="L101" s="6">
        <f>'主翼(平面形結果)'!O258</f>
        <v>103.80777146497287</v>
      </c>
      <c r="M101" s="196">
        <f t="shared" si="13"/>
        <v>26.504771464972919</v>
      </c>
      <c r="N101" s="273">
        <v>4.6603232172687932</v>
      </c>
      <c r="O101" s="196">
        <v>374085.92936275824</v>
      </c>
      <c r="P101" s="196">
        <v>6.4196850144629956</v>
      </c>
      <c r="Q101" s="196">
        <v>0.10300671275662505</v>
      </c>
      <c r="R101" s="196">
        <v>-0.56054025743363611</v>
      </c>
      <c r="S101" s="196">
        <v>-9.0129391044893883E-2</v>
      </c>
      <c r="T101" s="196">
        <v>1.1426751477223975</v>
      </c>
      <c r="U101" s="196">
        <v>9.3894769957234558E-3</v>
      </c>
      <c r="V101" s="196">
        <v>8.9313298315139497E-3</v>
      </c>
      <c r="W101" s="196">
        <v>-0.13616084730024414</v>
      </c>
      <c r="X101" s="196">
        <v>-2.1893332528004406E-2</v>
      </c>
      <c r="Y101" s="196">
        <v>0.10364553034636249</v>
      </c>
      <c r="Z101" s="196">
        <v>6.6228203417865918E-4</v>
      </c>
      <c r="AA101" s="196">
        <v>3.9772236860412686</v>
      </c>
      <c r="AB101" s="196">
        <v>7.3614885195980417E-2</v>
      </c>
      <c r="AC101" s="196">
        <v>0.4439724013679992</v>
      </c>
      <c r="AD101" s="181" t="str">
        <f t="shared" si="1"/>
        <v>QX0226.dat</v>
      </c>
      <c r="AE101" s="6">
        <f t="shared" si="17"/>
        <v>100</v>
      </c>
      <c r="AF101" s="6" t="str">
        <f t="shared" si="2"/>
        <v>QX0226.dat</v>
      </c>
      <c r="AG101" s="6" cm="1">
        <f t="array" ref="AG101">IF(AD101=AF101,0,
  _xlfn.SWITCH(TRUE,
    $C101&lt;$H$7,  ($C101-$H$6)/($H$7-$H$6),
    $C101&lt;$H$8,  ($C101-$H$7)/($H$8-$H$7),
    $C101&lt;$H$9,  ($C101-$H$8)/($H$9-$H$8),
    $C101&lt;$H$10, ($C101-$H$9)/($H$10-$H$9),
    $C101&lt;$H$11, ($C101-$H$10)/($H$11-$H$10),
    $C101&lt;$H$12, ($C101-$H$11)/($H$12-$H$11),
    ($C101-$H$12)/($H$13-$H$12)
  )*100
)</f>
        <v>0</v>
      </c>
      <c r="AH101" s="6">
        <f t="shared" si="20"/>
        <v>0.28195999999999966</v>
      </c>
      <c r="AI101" s="6">
        <f t="shared" si="21"/>
        <v>-0.46003999999999934</v>
      </c>
      <c r="AJ101" s="6">
        <f t="shared" si="22"/>
        <v>7.6000000000000059</v>
      </c>
      <c r="AK101" s="6">
        <f t="shared" si="23"/>
        <v>0</v>
      </c>
      <c r="AL101" s="6">
        <f t="shared" si="5"/>
        <v>3.6799999999999997</v>
      </c>
      <c r="AM101" s="30">
        <f t="shared" si="6"/>
        <v>6</v>
      </c>
      <c r="AN101" s="198">
        <v>3.601021577683055</v>
      </c>
      <c r="AO101" s="196">
        <v>10.717469435573756</v>
      </c>
      <c r="AP101" s="196">
        <v>7.5906862417580392</v>
      </c>
      <c r="AQ101" s="196">
        <v>0.32261382459862803</v>
      </c>
      <c r="AR101" s="196">
        <v>0.30875395912437037</v>
      </c>
      <c r="AS101" s="196">
        <v>-7.8257691230958756E-2</v>
      </c>
      <c r="AT101" s="196">
        <f t="shared" si="24"/>
        <v>0</v>
      </c>
      <c r="AU101" s="196">
        <f t="shared" si="25"/>
        <v>0</v>
      </c>
      <c r="AV101" s="196">
        <f t="shared" si="9"/>
        <v>0</v>
      </c>
      <c r="AW101" s="196">
        <f t="shared" si="18"/>
        <v>0</v>
      </c>
      <c r="AX101" s="198">
        <f t="shared" si="19"/>
        <v>0</v>
      </c>
      <c r="AY101" s="164"/>
      <c r="AZ101" s="23"/>
      <c r="BA101" s="23"/>
      <c r="BB101" s="23"/>
      <c r="BC101" s="23"/>
      <c r="BD101" s="23"/>
      <c r="BE101" s="23"/>
      <c r="BF101" s="23"/>
      <c r="BG101" s="23"/>
      <c r="BH101" s="23"/>
      <c r="BI101" s="23"/>
      <c r="BJ101" s="23"/>
      <c r="BK101" s="23"/>
      <c r="BL101" s="23"/>
      <c r="BM101" s="23"/>
      <c r="BN101" s="23"/>
    </row>
    <row r="102" spans="1:66">
      <c r="A102" s="23">
        <f t="shared" si="10"/>
        <v>0.12568720448097778</v>
      </c>
      <c r="B102" s="158">
        <v>51</v>
      </c>
      <c r="C102" s="6">
        <f t="shared" si="26"/>
        <v>7.7500000000000062</v>
      </c>
      <c r="D102" s="6">
        <f t="shared" si="11"/>
        <v>723.52631578947273</v>
      </c>
      <c r="E102" s="87">
        <v>0.15</v>
      </c>
      <c r="F102" s="87" t="str">
        <f t="shared" si="27"/>
        <v>3rd</v>
      </c>
      <c r="G102" s="87" t="str" cm="1">
        <f t="array" ref="G102">_xlfn.SWITCH(TRUE,
  OR(C102=$F$46, C102=$G$46, C102=$H$46, C102=$I$46), "端リブ",
  C102&lt;$F$46, "0番",
  C102&lt;$G$46, "1番",
  C102&lt;$H$46, "2番",
  C102&lt;$I$46, "3番",
  C102&lt;$J$46, "4番",
  "ウィングレット"
)</f>
        <v>2番</v>
      </c>
      <c r="H102" s="229" t="s">
        <v>756</v>
      </c>
      <c r="I102" s="6">
        <f>'主翼(桁)'!F96*2</f>
        <v>75.93799999999996</v>
      </c>
      <c r="J102" s="6">
        <f>'主翼(桁)'!G96*2</f>
        <v>71.380453686200326</v>
      </c>
      <c r="K102" s="6">
        <f t="shared" si="0"/>
        <v>0.38</v>
      </c>
      <c r="L102" s="6">
        <f>'主翼(平面形結果)'!O259</f>
        <v>101.22325396006397</v>
      </c>
      <c r="M102" s="196">
        <f t="shared" si="13"/>
        <v>25.285253960064011</v>
      </c>
      <c r="N102" s="273">
        <v>4.7175118283880364</v>
      </c>
      <c r="O102" s="196">
        <v>364654.85296079534</v>
      </c>
      <c r="P102" s="196">
        <v>6.288444797458248</v>
      </c>
      <c r="Q102" s="196">
        <v>9.4710067531746794E-2</v>
      </c>
      <c r="R102" s="196">
        <v>-0.53172451223887296</v>
      </c>
      <c r="S102" s="196">
        <v>-8.2547519772006792E-2</v>
      </c>
      <c r="T102" s="196">
        <v>1.1485901925807025</v>
      </c>
      <c r="U102" s="196">
        <v>9.5011445488130397E-3</v>
      </c>
      <c r="V102" s="196">
        <v>7.7835171504243347E-3</v>
      </c>
      <c r="W102" s="196">
        <v>-0.13596724012024686</v>
      </c>
      <c r="X102" s="196">
        <v>-2.1108220862176633E-2</v>
      </c>
      <c r="Y102" s="196">
        <v>0.1032136008938465</v>
      </c>
      <c r="Z102" s="196">
        <v>6.8880343572509575E-4</v>
      </c>
      <c r="AA102" s="196">
        <v>3.8970229496522495</v>
      </c>
      <c r="AB102" s="196">
        <v>6.3900178223140022E-2</v>
      </c>
      <c r="AC102" s="196">
        <v>0.38538476930516974</v>
      </c>
      <c r="AD102" s="181" t="str">
        <f t="shared" si="1"/>
        <v>QX0226.dat</v>
      </c>
      <c r="AE102" s="6">
        <f t="shared" si="17"/>
        <v>100</v>
      </c>
      <c r="AF102" s="6" t="str">
        <f t="shared" si="2"/>
        <v>QX0226.dat</v>
      </c>
      <c r="AG102" s="6" cm="1">
        <f t="array" ref="AG102">IF(AD102=AF102,0,
  _xlfn.SWITCH(TRUE,
    $C102&lt;$H$7,  ($C102-$H$6)/($H$7-$H$6),
    $C102&lt;$H$8,  ($C102-$H$7)/($H$8-$H$7),
    $C102&lt;$H$9,  ($C102-$H$8)/($H$9-$H$8),
    $C102&lt;$H$10, ($C102-$H$9)/($H$10-$H$9),
    $C102&lt;$H$11, ($C102-$H$10)/($H$11-$H$10),
    $C102&lt;$H$12, ($C102-$H$11)/($H$12-$H$11),
    ($C102-$H$12)/($H$13-$H$12)
  )*100
)</f>
        <v>0</v>
      </c>
      <c r="AH102" s="6">
        <f t="shared" si="20"/>
        <v>0.27493999999999963</v>
      </c>
      <c r="AI102" s="6">
        <f t="shared" si="21"/>
        <v>-0.44858631578947306</v>
      </c>
      <c r="AJ102" s="6">
        <f t="shared" si="22"/>
        <v>7.7491782843052466</v>
      </c>
      <c r="AK102" s="6">
        <f t="shared" si="23"/>
        <v>1.5679269490148019E-2</v>
      </c>
      <c r="AL102" s="6">
        <f t="shared" si="5"/>
        <v>3.6799999999999997</v>
      </c>
      <c r="AM102" s="30">
        <f t="shared" si="6"/>
        <v>6</v>
      </c>
      <c r="AN102" s="198">
        <v>3.5995911852347238</v>
      </c>
      <c r="AO102" s="196">
        <v>10.803143428114133</v>
      </c>
      <c r="AP102" s="196">
        <v>7.7380696629491608</v>
      </c>
      <c r="AQ102" s="196">
        <v>0.3505087552850526</v>
      </c>
      <c r="AR102" s="196">
        <v>0.32099026120652785</v>
      </c>
      <c r="AS102" s="196">
        <v>-7.9713974208452137E-2</v>
      </c>
      <c r="AT102" s="196">
        <f t="shared" si="24"/>
        <v>0</v>
      </c>
      <c r="AU102" s="196">
        <f t="shared" si="25"/>
        <v>0</v>
      </c>
      <c r="AV102" s="196">
        <f t="shared" si="9"/>
        <v>0</v>
      </c>
      <c r="AW102" s="196">
        <f t="shared" si="18"/>
        <v>0</v>
      </c>
      <c r="AX102" s="198">
        <f t="shared" si="19"/>
        <v>0</v>
      </c>
      <c r="AY102" s="164"/>
      <c r="AZ102" s="23"/>
      <c r="BA102" s="23"/>
      <c r="BB102" s="23"/>
      <c r="BC102" s="23"/>
      <c r="BD102" s="23"/>
      <c r="BE102" s="23"/>
      <c r="BF102" s="23"/>
      <c r="BG102" s="23"/>
      <c r="BH102" s="23"/>
      <c r="BI102" s="23"/>
      <c r="BJ102" s="23"/>
      <c r="BK102" s="23"/>
      <c r="BL102" s="23"/>
      <c r="BM102" s="23"/>
      <c r="BN102" s="23"/>
    </row>
    <row r="103" spans="1:66">
      <c r="A103" s="23">
        <f t="shared" si="10"/>
        <v>0.12704441624365492</v>
      </c>
      <c r="B103" s="100">
        <v>52</v>
      </c>
      <c r="C103" s="6">
        <f t="shared" si="26"/>
        <v>7.9000000000000066</v>
      </c>
      <c r="D103" s="6">
        <f t="shared" si="11"/>
        <v>705.05263157894638</v>
      </c>
      <c r="E103" s="87">
        <v>0.15</v>
      </c>
      <c r="F103" s="87" t="str">
        <f t="shared" si="27"/>
        <v>3rd</v>
      </c>
      <c r="G103" s="87" t="str" cm="1">
        <f t="array" ref="G103">_xlfn.SWITCH(TRUE,
  OR(C103=$F$46, C103=$G$46, C103=$H$46, C103=$I$46), "端リブ",
  C103&lt;$F$46, "0番",
  C103&lt;$G$46, "1番",
  C103&lt;$H$46, "2番",
  C103&lt;$I$46, "3番",
  C103&lt;$J$46, "4番",
  "ウィングレット"
)</f>
        <v>2番</v>
      </c>
      <c r="H103" s="229" t="s">
        <v>942</v>
      </c>
      <c r="I103" s="6">
        <f>'主翼(桁)'!F97*2</f>
        <v>74.572999999999951</v>
      </c>
      <c r="J103" s="6">
        <f>'主翼(桁)'!G97*2</f>
        <v>70.090283553875182</v>
      </c>
      <c r="K103" s="6">
        <f t="shared" si="0"/>
        <v>0.38</v>
      </c>
      <c r="L103" s="6">
        <f>'主翼(平面形結果)'!O260</f>
        <v>98.638736455155097</v>
      </c>
      <c r="M103" s="196">
        <f t="shared" si="13"/>
        <v>24.065736455155147</v>
      </c>
      <c r="N103" s="273">
        <v>4.768302303376081</v>
      </c>
      <c r="O103" s="196">
        <v>355223.7765588325</v>
      </c>
      <c r="P103" s="196">
        <v>6.1519734599399873</v>
      </c>
      <c r="Q103" s="196">
        <v>8.7331475314376072E-2</v>
      </c>
      <c r="R103" s="196">
        <v>-0.503740049203518</v>
      </c>
      <c r="S103" s="196">
        <v>-7.5676022218588684E-2</v>
      </c>
      <c r="T103" s="196">
        <v>1.1538225240648181</v>
      </c>
      <c r="U103" s="196">
        <v>9.6137078643589169E-3</v>
      </c>
      <c r="V103" s="196">
        <v>6.7510989007332611E-3</v>
      </c>
      <c r="W103" s="196">
        <v>-0.13578029883482867</v>
      </c>
      <c r="X103" s="196">
        <v>-2.0398046428346889E-2</v>
      </c>
      <c r="Y103" s="196">
        <v>0.10282090928975224</v>
      </c>
      <c r="Z103" s="196">
        <v>7.1377183655488849E-4</v>
      </c>
      <c r="AA103" s="196">
        <v>3.8135276698497313</v>
      </c>
      <c r="AB103" s="196">
        <v>5.5255058231886443E-2</v>
      </c>
      <c r="AC103" s="196">
        <v>0.33324694042008773</v>
      </c>
      <c r="AD103" s="181" t="str">
        <f t="shared" si="1"/>
        <v>QX0226.dat</v>
      </c>
      <c r="AE103" s="6">
        <f t="shared" si="17"/>
        <v>100</v>
      </c>
      <c r="AF103" s="6" t="str">
        <f t="shared" si="2"/>
        <v>QX0226.dat</v>
      </c>
      <c r="AG103" s="6" cm="1">
        <f t="array" ref="AG103">IF(AD103=AF103,0,
  _xlfn.SWITCH(TRUE,
    $C103&lt;$H$7,  ($C103-$H$6)/($H$7-$H$6),
    $C103&lt;$H$8,  ($C103-$H$7)/($H$8-$H$7),
    $C103&lt;$H$9,  ($C103-$H$8)/($H$9-$H$8),
    $C103&lt;$H$10, ($C103-$H$9)/($H$10-$H$9),
    $C103&lt;$H$11, ($C103-$H$10)/($H$11-$H$10),
    $C103&lt;$H$12, ($C103-$H$11)/($H$12-$H$11),
    ($C103-$H$12)/($H$13-$H$12)
  )*100
)</f>
        <v>0</v>
      </c>
      <c r="AH103" s="6">
        <f t="shared" si="20"/>
        <v>0.2679199999999996</v>
      </c>
      <c r="AI103" s="6">
        <f t="shared" si="21"/>
        <v>-0.43713263157894677</v>
      </c>
      <c r="AJ103" s="6">
        <f t="shared" si="22"/>
        <v>7.8983565686104873</v>
      </c>
      <c r="AK103" s="6">
        <f t="shared" si="23"/>
        <v>3.1358538980296037E-2</v>
      </c>
      <c r="AL103" s="6">
        <f t="shared" si="5"/>
        <v>3.6799999999999997</v>
      </c>
      <c r="AM103" s="30">
        <f t="shared" si="6"/>
        <v>6</v>
      </c>
      <c r="AN103" s="198">
        <v>3.5982126240161101</v>
      </c>
      <c r="AO103" s="196">
        <v>10.887664281747035</v>
      </c>
      <c r="AP103" s="196">
        <v>7.8854112082867669</v>
      </c>
      <c r="AQ103" s="196">
        <v>0.37862403613952789</v>
      </c>
      <c r="AR103" s="196">
        <v>0.33345232614221854</v>
      </c>
      <c r="AS103" s="196">
        <v>-8.1118338837981155E-2</v>
      </c>
      <c r="AT103" s="196">
        <f t="shared" si="24"/>
        <v>0</v>
      </c>
      <c r="AU103" s="196">
        <f t="shared" si="25"/>
        <v>0</v>
      </c>
      <c r="AV103" s="196">
        <f t="shared" si="9"/>
        <v>0</v>
      </c>
      <c r="AW103" s="196">
        <f t="shared" si="18"/>
        <v>0</v>
      </c>
      <c r="AX103" s="198">
        <f t="shared" si="19"/>
        <v>0</v>
      </c>
      <c r="AY103" s="164"/>
      <c r="AZ103" s="23"/>
      <c r="BA103" s="23"/>
      <c r="BB103" s="23"/>
      <c r="BC103" s="23"/>
      <c r="BD103" s="23"/>
      <c r="BE103" s="23"/>
      <c r="BF103" s="23"/>
      <c r="BG103" s="23"/>
      <c r="BH103" s="23"/>
      <c r="BI103" s="23"/>
      <c r="BJ103" s="23"/>
      <c r="BK103" s="23"/>
      <c r="BL103" s="23"/>
      <c r="BM103" s="23"/>
      <c r="BN103" s="23"/>
    </row>
    <row r="104" spans="1:66">
      <c r="A104" s="23">
        <f t="shared" si="10"/>
        <v>0.12847466462246082</v>
      </c>
      <c r="B104" s="158">
        <v>53</v>
      </c>
      <c r="C104" s="6">
        <f t="shared" si="26"/>
        <v>8.050000000000006</v>
      </c>
      <c r="D104" s="6">
        <f t="shared" si="11"/>
        <v>686.57894736842013</v>
      </c>
      <c r="E104" s="87">
        <v>0.15</v>
      </c>
      <c r="F104" s="87" t="str">
        <f t="shared" si="27"/>
        <v>3rd</v>
      </c>
      <c r="G104" s="87" t="str" cm="1">
        <f t="array" ref="G104">_xlfn.SWITCH(TRUE,
  OR(C104=$F$46, C104=$G$46, C104=$H$46, C104=$I$46), "端リブ",
  C104&lt;$F$46, "0番",
  C104&lt;$G$46, "1番",
  C104&lt;$H$46, "2番",
  C104&lt;$I$46, "3番",
  C104&lt;$J$46, "4番",
  "ウィングレット"
)</f>
        <v>2番</v>
      </c>
      <c r="H104" s="229" t="s">
        <v>756</v>
      </c>
      <c r="I104" s="6">
        <f>'主翼(桁)'!F98*2</f>
        <v>73.207999999999956</v>
      </c>
      <c r="J104" s="6">
        <f>'主翼(桁)'!G98*2</f>
        <v>68.800113421550037</v>
      </c>
      <c r="K104" s="6">
        <f t="shared" si="0"/>
        <v>0.38</v>
      </c>
      <c r="L104" s="6">
        <f>'主翼(平面形結果)'!O261</f>
        <v>96.054218950246209</v>
      </c>
      <c r="M104" s="196">
        <f t="shared" si="13"/>
        <v>22.846218950246254</v>
      </c>
      <c r="N104" s="273">
        <v>4.8158806622046004</v>
      </c>
      <c r="O104" s="196">
        <v>345792.70015686966</v>
      </c>
      <c r="P104" s="196">
        <v>6.0122964593382662</v>
      </c>
      <c r="Q104" s="196">
        <v>8.0519891481607292E-2</v>
      </c>
      <c r="R104" s="196">
        <v>-0.47656075052716734</v>
      </c>
      <c r="S104" s="196">
        <v>-6.9322596403726344E-2</v>
      </c>
      <c r="T104" s="196">
        <v>1.158705668554652</v>
      </c>
      <c r="U104" s="196">
        <v>9.7293358606179159E-3</v>
      </c>
      <c r="V104" s="196">
        <v>5.7739076893658196E-3</v>
      </c>
      <c r="W104" s="196">
        <v>-0.1355947711321539</v>
      </c>
      <c r="X104" s="196">
        <v>-1.9724204276688737E-2</v>
      </c>
      <c r="Y104" s="196">
        <v>0.10244530453185247</v>
      </c>
      <c r="Z104" s="196">
        <v>7.3830426908873519E-4</v>
      </c>
      <c r="AA104" s="196">
        <v>3.727990650366023</v>
      </c>
      <c r="AB104" s="196">
        <v>4.7151260648910044E-2</v>
      </c>
      <c r="AC104" s="196">
        <v>0.28437326847643246</v>
      </c>
      <c r="AD104" s="181" t="str">
        <f t="shared" si="1"/>
        <v>QX0226.dat</v>
      </c>
      <c r="AE104" s="6">
        <f t="shared" si="17"/>
        <v>100</v>
      </c>
      <c r="AF104" s="6" t="str">
        <f t="shared" si="2"/>
        <v>QX0226.dat</v>
      </c>
      <c r="AG104" s="6" cm="1">
        <f t="array" ref="AG104">IF(AD104=AF104,0,
  _xlfn.SWITCH(TRUE,
    $C104&lt;$H$7,  ($C104-$H$6)/($H$7-$H$6),
    $C104&lt;$H$8,  ($C104-$H$7)/($H$8-$H$7),
    $C104&lt;$H$9,  ($C104-$H$8)/($H$9-$H$8),
    $C104&lt;$H$10, ($C104-$H$9)/($H$10-$H$9),
    $C104&lt;$H$11, ($C104-$H$10)/($H$11-$H$10),
    $C104&lt;$H$12, ($C104-$H$11)/($H$12-$H$11),
    ($C104-$H$12)/($H$13-$H$12)
  )*100
)</f>
        <v>0</v>
      </c>
      <c r="AH104" s="6">
        <f t="shared" si="20"/>
        <v>0.26089999999999963</v>
      </c>
      <c r="AI104" s="6">
        <f t="shared" si="21"/>
        <v>-0.42567894736842055</v>
      </c>
      <c r="AJ104" s="6">
        <f t="shared" si="22"/>
        <v>8.047534852915728</v>
      </c>
      <c r="AK104" s="6">
        <f t="shared" si="23"/>
        <v>4.7037808470444059E-2</v>
      </c>
      <c r="AL104" s="6">
        <f t="shared" si="5"/>
        <v>3.6799999999999997</v>
      </c>
      <c r="AM104" s="30">
        <f t="shared" si="6"/>
        <v>6</v>
      </c>
      <c r="AN104" s="198">
        <v>3.596885691372016</v>
      </c>
      <c r="AO104" s="196">
        <v>10.971001520670537</v>
      </c>
      <c r="AP104" s="196">
        <v>8.0327111185834923</v>
      </c>
      <c r="AQ104" s="196">
        <v>0.40695663973638962</v>
      </c>
      <c r="AR104" s="196">
        <v>0.34613717467472566</v>
      </c>
      <c r="AS104" s="196">
        <v>-8.2470985937470695E-2</v>
      </c>
      <c r="AT104" s="196">
        <f t="shared" si="24"/>
        <v>0</v>
      </c>
      <c r="AU104" s="196">
        <f t="shared" si="25"/>
        <v>0</v>
      </c>
      <c r="AV104" s="196">
        <f t="shared" si="9"/>
        <v>0</v>
      </c>
      <c r="AW104" s="196">
        <f t="shared" si="18"/>
        <v>0</v>
      </c>
      <c r="AX104" s="198">
        <f t="shared" si="19"/>
        <v>0</v>
      </c>
      <c r="AY104" s="164"/>
      <c r="AZ104" s="23"/>
      <c r="BA104" s="23"/>
      <c r="BB104" s="23"/>
      <c r="BC104" s="23"/>
      <c r="BD104" s="23"/>
      <c r="BE104" s="23"/>
      <c r="BF104" s="23"/>
      <c r="BG104" s="23"/>
      <c r="BH104" s="23"/>
      <c r="BI104" s="23"/>
      <c r="BJ104" s="23"/>
      <c r="BK104" s="23"/>
      <c r="BL104" s="23"/>
      <c r="BM104" s="23"/>
      <c r="BN104" s="23"/>
    </row>
    <row r="105" spans="1:66">
      <c r="A105" s="23">
        <f t="shared" si="10"/>
        <v>0.12998400819284711</v>
      </c>
      <c r="B105" s="100">
        <v>54</v>
      </c>
      <c r="C105" s="6">
        <f t="shared" si="26"/>
        <v>8.2000000000000064</v>
      </c>
      <c r="D105" s="6">
        <f t="shared" si="11"/>
        <v>668.10526315789389</v>
      </c>
      <c r="E105" s="87">
        <v>0.15</v>
      </c>
      <c r="F105" s="87" t="str">
        <f t="shared" si="27"/>
        <v>3rd</v>
      </c>
      <c r="G105" s="87" t="str" cm="1">
        <f t="array" ref="G105">_xlfn.SWITCH(TRUE,
  OR(C105=$F$46, C105=$G$46, C105=$H$46, C105=$I$46), "端リブ",
  C105&lt;$F$46, "0番",
  C105&lt;$G$46, "1番",
  C105&lt;$H$46, "2番",
  C105&lt;$I$46, "3番",
  C105&lt;$J$46, "4番",
  "ウィングレット"
)</f>
        <v>2番</v>
      </c>
      <c r="H105" s="229" t="s">
        <v>942</v>
      </c>
      <c r="I105" s="6">
        <f>'主翼(桁)'!F99*2</f>
        <v>71.842999999999947</v>
      </c>
      <c r="J105" s="6">
        <f>'主翼(桁)'!G99*2</f>
        <v>67.509943289224893</v>
      </c>
      <c r="K105" s="6">
        <f t="shared" si="0"/>
        <v>0.38</v>
      </c>
      <c r="L105" s="6">
        <f>'主翼(平面形結果)'!O262</f>
        <v>93.46970144533735</v>
      </c>
      <c r="M105" s="196">
        <f t="shared" si="13"/>
        <v>21.626701445337403</v>
      </c>
      <c r="N105" s="273">
        <v>4.8605784514643844</v>
      </c>
      <c r="O105" s="196">
        <v>336361.62375490682</v>
      </c>
      <c r="P105" s="196">
        <v>5.8697526353929828</v>
      </c>
      <c r="Q105" s="196">
        <v>7.4227029427339913E-2</v>
      </c>
      <c r="R105" s="196">
        <v>-0.45018187311006685</v>
      </c>
      <c r="S105" s="196">
        <v>-6.3442408024977234E-2</v>
      </c>
      <c r="T105" s="196">
        <v>1.1632767332278853</v>
      </c>
      <c r="U105" s="196">
        <v>9.8483586844056725E-3</v>
      </c>
      <c r="V105" s="196">
        <v>4.8470446363043634E-3</v>
      </c>
      <c r="W105" s="196">
        <v>-0.13541056602399459</v>
      </c>
      <c r="X105" s="196">
        <v>-1.9082892701206097E-2</v>
      </c>
      <c r="Y105" s="196">
        <v>0.10208561989762878</v>
      </c>
      <c r="Z105" s="196">
        <v>7.6247222988292665E-4</v>
      </c>
      <c r="AA105" s="196">
        <v>3.6406199462283202</v>
      </c>
      <c r="AB105" s="196">
        <v>3.9533703715635124E-2</v>
      </c>
      <c r="AC105" s="196">
        <v>0.23843171538015195</v>
      </c>
      <c r="AD105" s="181" t="str">
        <f t="shared" si="1"/>
        <v>QX0226.dat</v>
      </c>
      <c r="AE105" s="6">
        <f t="shared" si="17"/>
        <v>100</v>
      </c>
      <c r="AF105" s="6" t="str">
        <f t="shared" si="2"/>
        <v>QX0226.dat</v>
      </c>
      <c r="AG105" s="6" cm="1">
        <f t="array" ref="AG105">IF(AD105=AF105,0,
  _xlfn.SWITCH(TRUE,
    $C105&lt;$H$7,  ($C105-$H$6)/($H$7-$H$6),
    $C105&lt;$H$8,  ($C105-$H$7)/($H$8-$H$7),
    $C105&lt;$H$9,  ($C105-$H$8)/($H$9-$H$8),
    $C105&lt;$H$10, ($C105-$H$9)/($H$10-$H$9),
    $C105&lt;$H$11, ($C105-$H$10)/($H$11-$H$10),
    $C105&lt;$H$12, ($C105-$H$11)/($H$12-$H$11),
    ($C105-$H$12)/($H$13-$H$12)
  )*100
)</f>
        <v>0</v>
      </c>
      <c r="AH105" s="6">
        <f t="shared" si="20"/>
        <v>0.25387999999999966</v>
      </c>
      <c r="AI105" s="6">
        <f t="shared" si="21"/>
        <v>-0.41422526315789421</v>
      </c>
      <c r="AJ105" s="6">
        <f t="shared" si="22"/>
        <v>8.1967131372209696</v>
      </c>
      <c r="AK105" s="6">
        <f t="shared" si="23"/>
        <v>6.2717077960592074E-2</v>
      </c>
      <c r="AL105" s="6">
        <f t="shared" si="5"/>
        <v>3.6799999999999997</v>
      </c>
      <c r="AM105" s="30">
        <f t="shared" si="6"/>
        <v>6</v>
      </c>
      <c r="AN105" s="198">
        <v>3.5956101668611327</v>
      </c>
      <c r="AO105" s="196">
        <v>11.053113039473118</v>
      </c>
      <c r="AP105" s="196">
        <v>8.1799696630483094</v>
      </c>
      <c r="AQ105" s="196">
        <v>0.43550346236349902</v>
      </c>
      <c r="AR105" s="196">
        <v>0.35904174874522632</v>
      </c>
      <c r="AS105" s="196">
        <v>-8.3772121918737535E-2</v>
      </c>
      <c r="AT105" s="196">
        <f t="shared" si="24"/>
        <v>0</v>
      </c>
      <c r="AU105" s="196">
        <f t="shared" si="25"/>
        <v>0</v>
      </c>
      <c r="AV105" s="196">
        <f t="shared" si="9"/>
        <v>0</v>
      </c>
      <c r="AW105" s="196">
        <f t="shared" si="18"/>
        <v>0</v>
      </c>
      <c r="AX105" s="198">
        <f t="shared" si="19"/>
        <v>0</v>
      </c>
      <c r="AY105" s="164"/>
      <c r="AZ105" s="23"/>
      <c r="BA105" s="23"/>
      <c r="BB105" s="23"/>
      <c r="BC105" s="23"/>
      <c r="BD105" s="23"/>
      <c r="BE105" s="23"/>
      <c r="BF105" s="23"/>
      <c r="BG105" s="23"/>
      <c r="BH105" s="23"/>
      <c r="BI105" s="23"/>
      <c r="BJ105" s="23"/>
      <c r="BK105" s="23"/>
      <c r="BL105" s="23"/>
      <c r="BM105" s="23"/>
      <c r="BN105" s="23"/>
    </row>
    <row r="106" spans="1:66">
      <c r="A106" s="23">
        <f t="shared" si="10"/>
        <v>0.13157919468524681</v>
      </c>
      <c r="B106" s="158">
        <v>55</v>
      </c>
      <c r="C106" s="6">
        <f t="shared" si="26"/>
        <v>8.3500000000000068</v>
      </c>
      <c r="D106" s="6">
        <f t="shared" si="11"/>
        <v>649.63157894736742</v>
      </c>
      <c r="E106" s="87">
        <v>0.2</v>
      </c>
      <c r="F106" s="87" t="str">
        <f t="shared" si="27"/>
        <v>3rd</v>
      </c>
      <c r="G106" s="87" t="str" cm="1">
        <f t="array" ref="G106">_xlfn.SWITCH(TRUE,
  OR(C106=$F$46, C106=$G$46, C106=$H$46, C106=$I$46), "端リブ",
  C106&lt;$F$46, "0番",
  C106&lt;$G$46, "1番",
  C106&lt;$H$46, "2番",
  C106&lt;$I$46, "3番",
  C106&lt;$J$46, "4番",
  "ウィングレット"
)</f>
        <v>2番</v>
      </c>
      <c r="H106" s="229" t="s">
        <v>756</v>
      </c>
      <c r="I106" s="6">
        <f>'主翼(桁)'!F100*2</f>
        <v>70.477999999999952</v>
      </c>
      <c r="J106" s="6">
        <f>'主翼(桁)'!G100*2</f>
        <v>66.219773156899763</v>
      </c>
      <c r="K106" s="6">
        <f t="shared" si="0"/>
        <v>0.38</v>
      </c>
      <c r="L106" s="6">
        <f>'主翼(平面形結果)'!O263</f>
        <v>90.885183940428448</v>
      </c>
      <c r="M106" s="196">
        <f t="shared" si="13"/>
        <v>20.407183940428496</v>
      </c>
      <c r="N106" s="273">
        <v>4.932385763776991</v>
      </c>
      <c r="O106" s="196">
        <v>325358.7012859502</v>
      </c>
      <c r="P106" s="196">
        <v>7.6161777187415378</v>
      </c>
      <c r="Q106" s="196">
        <v>8.709692516876763E-2</v>
      </c>
      <c r="R106" s="196">
        <v>-0.56039188262391881</v>
      </c>
      <c r="S106" s="196">
        <v>-7.5000851064754251E-2</v>
      </c>
      <c r="T106" s="196">
        <v>1.1705860867790432</v>
      </c>
      <c r="U106" s="196">
        <v>1.0010202228645182E-2</v>
      </c>
      <c r="V106" s="196">
        <v>3.3609151176394992E-3</v>
      </c>
      <c r="W106" s="196">
        <v>-0.13514607775844645</v>
      </c>
      <c r="X106" s="196">
        <v>-1.8087469080542151E-2</v>
      </c>
      <c r="Y106" s="196">
        <v>0.10149397596236716</v>
      </c>
      <c r="Z106" s="196">
        <v>7.9998276192518036E-4</v>
      </c>
      <c r="AA106" s="196">
        <v>3.543656731201859</v>
      </c>
      <c r="AB106" s="196">
        <v>2.7458948738386415E-2</v>
      </c>
      <c r="AC106" s="196">
        <v>0.16560815697561887</v>
      </c>
      <c r="AD106" s="181" t="str">
        <f t="shared" si="1"/>
        <v>QX0226.dat</v>
      </c>
      <c r="AE106" s="6">
        <f t="shared" si="17"/>
        <v>100</v>
      </c>
      <c r="AF106" s="6" t="str">
        <f t="shared" si="2"/>
        <v>QX0226.dat</v>
      </c>
      <c r="AG106" s="6" cm="1">
        <f t="array" ref="AG106">IF(AD106=AF106,0,
  _xlfn.SWITCH(TRUE,
    $C106&lt;$H$7,  ($C106-$H$6)/($H$7-$H$6),
    $C106&lt;$H$8,  ($C106-$H$7)/($H$8-$H$7),
    $C106&lt;$H$9,  ($C106-$H$8)/($H$9-$H$8),
    $C106&lt;$H$10, ($C106-$H$9)/($H$10-$H$9),
    $C106&lt;$H$11, ($C106-$H$10)/($H$11-$H$10),
    $C106&lt;$H$12, ($C106-$H$11)/($H$12-$H$11),
    ($C106-$H$12)/($H$13-$H$12)
  )*100
)</f>
        <v>0</v>
      </c>
      <c r="AH106" s="6">
        <f t="shared" si="20"/>
        <v>0.24685999999999961</v>
      </c>
      <c r="AI106" s="6">
        <f t="shared" si="21"/>
        <v>-0.40277157894736781</v>
      </c>
      <c r="AJ106" s="6">
        <f t="shared" si="22"/>
        <v>8.3458914215262112</v>
      </c>
      <c r="AK106" s="6">
        <f t="shared" si="23"/>
        <v>7.8396347450740089E-2</v>
      </c>
      <c r="AL106" s="6">
        <f t="shared" si="5"/>
        <v>3.6799999999999997</v>
      </c>
      <c r="AM106" s="30">
        <f t="shared" si="6"/>
        <v>6</v>
      </c>
      <c r="AN106" s="198">
        <v>3.594543405679083</v>
      </c>
      <c r="AO106" s="196">
        <v>11.118941728479665</v>
      </c>
      <c r="AP106" s="196">
        <v>8.3271871453872546</v>
      </c>
      <c r="AQ106" s="196">
        <v>0.46426129423208945</v>
      </c>
      <c r="AR106" s="196">
        <v>0.37216290955268327</v>
      </c>
      <c r="AS106" s="196">
        <v>-8.5021983256001715E-2</v>
      </c>
      <c r="AT106" s="196">
        <f t="shared" si="24"/>
        <v>0</v>
      </c>
      <c r="AU106" s="196">
        <f t="shared" si="25"/>
        <v>0</v>
      </c>
      <c r="AV106" s="196">
        <f t="shared" si="9"/>
        <v>0</v>
      </c>
      <c r="AW106" s="196">
        <f t="shared" si="18"/>
        <v>0</v>
      </c>
      <c r="AX106" s="198">
        <f t="shared" si="19"/>
        <v>0</v>
      </c>
      <c r="AY106" s="164"/>
      <c r="AZ106" s="23"/>
      <c r="BA106" s="23"/>
      <c r="BB106" s="23"/>
      <c r="BC106" s="23"/>
      <c r="BD106" s="23"/>
      <c r="BE106" s="23"/>
      <c r="BF106" s="23"/>
      <c r="BG106" s="23"/>
      <c r="BH106" s="23"/>
      <c r="BI106" s="23"/>
      <c r="BJ106" s="23"/>
      <c r="BK106" s="23"/>
      <c r="BL106" s="23"/>
      <c r="BM106" s="23"/>
      <c r="BN106" s="23"/>
    </row>
    <row r="107" spans="1:66">
      <c r="A107" s="23">
        <f t="shared" si="10"/>
        <v>0.14532479999999995</v>
      </c>
      <c r="B107" s="100">
        <v>56</v>
      </c>
      <c r="C107" s="6">
        <f t="shared" si="26"/>
        <v>8.550000000000006</v>
      </c>
      <c r="D107" s="6">
        <f t="shared" si="11"/>
        <v>625</v>
      </c>
      <c r="E107" s="87">
        <v>0.17499999999999999</v>
      </c>
      <c r="F107" s="87" t="str">
        <f t="shared" si="27"/>
        <v>4th</v>
      </c>
      <c r="G107" s="87" t="s">
        <v>941</v>
      </c>
      <c r="H107" s="229" t="s">
        <v>756</v>
      </c>
      <c r="I107" s="6">
        <f>'主翼(桁)'!F101*2</f>
        <v>75.827999999999975</v>
      </c>
      <c r="J107" s="6">
        <f>'主翼(桁)'!G101*2</f>
        <v>75.239999999999966</v>
      </c>
      <c r="K107" s="6">
        <f t="shared" si="0"/>
        <v>0.38</v>
      </c>
      <c r="L107" s="6">
        <f>'主翼(平面形結果)'!O264</f>
        <v>87.439160600549954</v>
      </c>
      <c r="M107" s="196">
        <f t="shared" si="13"/>
        <v>11.611160600549979</v>
      </c>
      <c r="N107" s="273">
        <v>4.9392791138764709</v>
      </c>
      <c r="O107" s="196">
        <v>318251.68427701131</v>
      </c>
      <c r="P107" s="196">
        <v>6.4818097355677393</v>
      </c>
      <c r="Q107" s="196">
        <v>6.9961269606790985E-2</v>
      </c>
      <c r="R107" s="196">
        <v>-0.46266665126264445</v>
      </c>
      <c r="S107" s="196">
        <v>-5.8594200316013374E-2</v>
      </c>
      <c r="T107" s="196">
        <v>1.1641367776679732</v>
      </c>
      <c r="U107" s="196">
        <v>1.008876433331856E-2</v>
      </c>
      <c r="V107" s="196">
        <v>2.4609676169393782E-3</v>
      </c>
      <c r="W107" s="196">
        <v>-0.13329472555565652</v>
      </c>
      <c r="X107" s="196">
        <v>-1.6881047788859224E-2</v>
      </c>
      <c r="Y107" s="196">
        <v>0.10153913210385905</v>
      </c>
      <c r="Z107" s="196">
        <v>8.2031337396964576E-4</v>
      </c>
      <c r="AA107" s="196">
        <v>3.4471531807528373</v>
      </c>
      <c r="AB107" s="196">
        <v>2.0395993070337116E-2</v>
      </c>
      <c r="AC107" s="196">
        <v>0.12301079225259053</v>
      </c>
      <c r="AD107" s="181" t="str">
        <f t="shared" si="1"/>
        <v>QX0226.dat</v>
      </c>
      <c r="AE107" s="6">
        <f t="shared" si="17"/>
        <v>99.999999999999801</v>
      </c>
      <c r="AF107" s="6" t="str">
        <f t="shared" si="2"/>
        <v>QX0126.dat</v>
      </c>
      <c r="AG107" s="6" cm="1">
        <f t="array" ref="AG107">IF(AD107=AF107,0,
  _xlfn.SWITCH(TRUE,
    $C107&lt;$H$7,  ($C107-$H$6)/($H$7-$H$6),
    $C107&lt;$H$8,  ($C107-$H$7)/($H$8-$H$7),
    $C107&lt;$H$9,  ($C107-$H$8)/($H$9-$H$8),
    $C107&lt;$H$10, ($C107-$H$9)/($H$10-$H$9),
    $C107&lt;$H$11, ($C107-$H$10)/($H$11-$H$10),
    $C107&lt;$H$12, ($C107-$H$11)/($H$12-$H$11),
    ($C107-$H$12)/($H$13-$H$12)
  )*100
)</f>
        <v>1.9556222085140372E-13</v>
      </c>
      <c r="AH107" s="6">
        <f t="shared" si="20"/>
        <v>0.23749999999999999</v>
      </c>
      <c r="AI107" s="6">
        <f t="shared" si="21"/>
        <v>-0.38750000000000001</v>
      </c>
      <c r="AJ107" s="6">
        <f t="shared" si="22"/>
        <v>8.5447958005998661</v>
      </c>
      <c r="AK107" s="6">
        <f t="shared" si="23"/>
        <v>9.9302040104270781E-2</v>
      </c>
      <c r="AL107" s="6">
        <f t="shared" si="5"/>
        <v>3.6799999999999975</v>
      </c>
      <c r="AM107" s="30">
        <f t="shared" si="6"/>
        <v>6</v>
      </c>
      <c r="AN107" s="198">
        <v>3.5588532805835729</v>
      </c>
      <c r="AO107" s="196">
        <v>11.157658887857759</v>
      </c>
      <c r="AP107" s="196">
        <v>8.5234329380808198</v>
      </c>
      <c r="AQ107" s="196">
        <v>0.50283056762522382</v>
      </c>
      <c r="AR107" s="196">
        <v>0.38994220162068899</v>
      </c>
      <c r="AS107" s="196">
        <v>-8.5905629486157362E-2</v>
      </c>
      <c r="AT107" s="196">
        <f t="shared" si="24"/>
        <v>0</v>
      </c>
      <c r="AU107" s="196">
        <f t="shared" si="25"/>
        <v>0</v>
      </c>
      <c r="AV107" s="196">
        <f t="shared" si="9"/>
        <v>0</v>
      </c>
      <c r="AW107" s="196">
        <f t="shared" si="18"/>
        <v>0</v>
      </c>
      <c r="AX107" s="198">
        <f t="shared" si="19"/>
        <v>0</v>
      </c>
      <c r="AY107" s="164"/>
      <c r="AZ107" s="23"/>
      <c r="BA107" s="23"/>
      <c r="BB107" s="23"/>
      <c r="BC107" s="23"/>
      <c r="BD107" s="23"/>
      <c r="BE107" s="23"/>
      <c r="BF107" s="23"/>
      <c r="BG107" s="23"/>
      <c r="BH107" s="23"/>
      <c r="BI107" s="23"/>
      <c r="BJ107" s="23"/>
      <c r="BK107" s="23"/>
      <c r="BL107" s="23"/>
      <c r="BM107" s="23"/>
      <c r="BN107" s="23"/>
    </row>
    <row r="108" spans="1:66">
      <c r="A108" s="23">
        <f t="shared" si="10"/>
        <v>0.14368298782736993</v>
      </c>
      <c r="B108" s="158">
        <v>57</v>
      </c>
      <c r="C108" s="6">
        <f t="shared" si="26"/>
        <v>8.7250000000000068</v>
      </c>
      <c r="D108" s="6">
        <f t="shared" si="11"/>
        <v>621.78899082568807</v>
      </c>
      <c r="E108" s="87">
        <v>0.15</v>
      </c>
      <c r="F108" s="87" t="str">
        <f t="shared" si="27"/>
        <v>4th</v>
      </c>
      <c r="G108" s="87" t="str" cm="1">
        <f t="array" ref="G108">_xlfn.SWITCH(TRUE,
  OR(C108=$F$46, C108=$G$46, C108=$H$46, C108=$I$46), "端リブ",
  C108&lt;$F$46, "0番",
  C108&lt;$G$46, "1番",
  C108&lt;$H$46, "2番",
  C108&lt;$I$46, "3番",
  C108&lt;$J$46, "4番",
  "ウィングレット"
)</f>
        <v>3番</v>
      </c>
      <c r="H108" s="229" t="s">
        <v>756</v>
      </c>
      <c r="I108" s="6">
        <f>'主翼(桁)'!F102*2</f>
        <v>74.340499999999977</v>
      </c>
      <c r="J108" s="6">
        <f>'主翼(桁)'!G102*2</f>
        <v>73.752499999999969</v>
      </c>
      <c r="K108" s="6">
        <f t="shared" si="0"/>
        <v>0.38</v>
      </c>
      <c r="L108" s="6">
        <f>'主翼(平面形結果)'!O265</f>
        <v>86.615274555204962</v>
      </c>
      <c r="M108" s="196">
        <f t="shared" si="13"/>
        <v>12.274774555204985</v>
      </c>
      <c r="N108" s="273">
        <v>4.8571834037575288</v>
      </c>
      <c r="O108" s="196">
        <v>316729.50918665039</v>
      </c>
      <c r="P108" s="196">
        <v>5.425825535926692</v>
      </c>
      <c r="Q108" s="196">
        <v>6.0817709885928696E-2</v>
      </c>
      <c r="R108" s="196">
        <v>-0.38355737332233797</v>
      </c>
      <c r="S108" s="196">
        <v>-4.6932188123216319E-2</v>
      </c>
      <c r="T108" s="196">
        <v>1.1424819495972212</v>
      </c>
      <c r="U108" s="196">
        <v>1.0038846233905649E-2</v>
      </c>
      <c r="V108" s="196">
        <v>2.7525140182945648E-3</v>
      </c>
      <c r="W108" s="196">
        <v>-0.13017664599173823</v>
      </c>
      <c r="X108" s="196">
        <v>-1.5928451032016136E-2</v>
      </c>
      <c r="Y108" s="196">
        <v>0.10238393920661046</v>
      </c>
      <c r="Z108" s="196">
        <v>8.0987076575888184E-4</v>
      </c>
      <c r="AA108" s="196">
        <v>3.3668497591484634</v>
      </c>
      <c r="AB108" s="196">
        <v>2.312709604580836E-2</v>
      </c>
      <c r="AC108" s="196">
        <v>0.13948235559392116</v>
      </c>
      <c r="AD108" s="181" t="str">
        <f t="shared" si="1"/>
        <v>QX0226.dat</v>
      </c>
      <c r="AE108" s="6">
        <f t="shared" si="17"/>
        <v>93.577981651375922</v>
      </c>
      <c r="AF108" s="6" t="str">
        <f t="shared" si="2"/>
        <v>QX0126.dat</v>
      </c>
      <c r="AG108" s="6" cm="1">
        <f t="array" ref="AG108">IF(AD108=AF108,0,
  _xlfn.SWITCH(TRUE,
    $C108&lt;$H$7,  ($C108-$H$6)/($H$7-$H$6),
    $C108&lt;$H$8,  ($C108-$H$7)/($H$8-$H$7),
    $C108&lt;$H$9,  ($C108-$H$8)/($H$9-$H$8),
    $C108&lt;$H$10, ($C108-$H$9)/($H$10-$H$9),
    $C108&lt;$H$11, ($C108-$H$10)/($H$11-$H$10),
    $C108&lt;$H$12, ($C108-$H$11)/($H$12-$H$11),
    ($C108-$H$12)/($H$13-$H$12)
  )*100
)</f>
        <v>6.4220183486240758</v>
      </c>
      <c r="AH108" s="6">
        <f t="shared" si="20"/>
        <v>0.23627981651376145</v>
      </c>
      <c r="AI108" s="6">
        <f t="shared" si="21"/>
        <v>-0.38550917431192661</v>
      </c>
      <c r="AJ108" s="6">
        <f t="shared" si="22"/>
        <v>8.7188371322893143</v>
      </c>
      <c r="AK108" s="6">
        <f t="shared" si="23"/>
        <v>0.11759452117611013</v>
      </c>
      <c r="AL108" s="6">
        <f t="shared" si="5"/>
        <v>3.6099999999999972</v>
      </c>
      <c r="AM108" s="30">
        <f t="shared" si="6"/>
        <v>6</v>
      </c>
      <c r="AN108" s="198">
        <v>3.4933190709775297</v>
      </c>
      <c r="AO108" s="196">
        <v>11.188929934338447</v>
      </c>
      <c r="AP108" s="196">
        <v>8.6951251624694468</v>
      </c>
      <c r="AQ108" s="196">
        <v>0.53669470919835516</v>
      </c>
      <c r="AR108" s="196">
        <v>0.40565230975290301</v>
      </c>
      <c r="AS108" s="196">
        <v>-8.6402247368404725E-2</v>
      </c>
      <c r="AT108" s="196">
        <f t="shared" si="24"/>
        <v>0</v>
      </c>
      <c r="AU108" s="196">
        <f t="shared" si="25"/>
        <v>0</v>
      </c>
      <c r="AV108" s="196">
        <f t="shared" si="9"/>
        <v>0</v>
      </c>
      <c r="AW108" s="196">
        <f t="shared" si="18"/>
        <v>0</v>
      </c>
      <c r="AX108" s="198">
        <f t="shared" si="19"/>
        <v>0</v>
      </c>
      <c r="AY108" s="164"/>
      <c r="AZ108" s="23"/>
      <c r="BA108" s="23"/>
      <c r="BB108" s="23"/>
      <c r="BC108" s="23"/>
      <c r="BD108" s="23"/>
      <c r="BE108" s="23"/>
      <c r="BF108" s="23"/>
      <c r="BG108" s="23"/>
      <c r="BH108" s="23"/>
      <c r="BI108" s="23"/>
      <c r="BJ108" s="23"/>
      <c r="BK108" s="23"/>
      <c r="BL108" s="23"/>
      <c r="BM108" s="23"/>
      <c r="BN108" s="23"/>
    </row>
    <row r="109" spans="1:66">
      <c r="A109" s="23">
        <f t="shared" si="10"/>
        <v>0.1422621637643571</v>
      </c>
      <c r="B109" s="100">
        <v>58</v>
      </c>
      <c r="C109" s="6">
        <f t="shared" si="26"/>
        <v>8.8750000000000071</v>
      </c>
      <c r="D109" s="6">
        <f t="shared" si="11"/>
        <v>619.03669724770634</v>
      </c>
      <c r="E109" s="87">
        <v>0.15</v>
      </c>
      <c r="F109" s="87" t="str">
        <f t="shared" si="27"/>
        <v>4th</v>
      </c>
      <c r="G109" s="87" t="str" cm="1">
        <f t="array" ref="G109">_xlfn.SWITCH(TRUE,
  OR(C109=$F$46, C109=$G$46, C109=$H$46, C109=$I$46), "端リブ",
  C109&lt;$F$46, "0番",
  C109&lt;$G$46, "1番",
  C109&lt;$H$46, "2番",
  C109&lt;$I$46, "3番",
  C109&lt;$J$46, "4番",
  "ウィングレット"
)</f>
        <v>3番</v>
      </c>
      <c r="H109" s="229" t="s">
        <v>942</v>
      </c>
      <c r="I109" s="6">
        <f>'主翼(桁)'!F103*2</f>
        <v>73.065499999999943</v>
      </c>
      <c r="J109" s="6">
        <f>'主翼(桁)'!G103*2</f>
        <v>72.477499999999935</v>
      </c>
      <c r="K109" s="6">
        <f t="shared" si="0"/>
        <v>0.38</v>
      </c>
      <c r="L109" s="6">
        <f>'主翼(平面形結果)'!O266</f>
        <v>85.912166378462061</v>
      </c>
      <c r="M109" s="196">
        <f t="shared" si="13"/>
        <v>12.846666378462118</v>
      </c>
      <c r="N109" s="273">
        <v>4.7829933465714367</v>
      </c>
      <c r="O109" s="196">
        <v>315324.42448785563</v>
      </c>
      <c r="P109" s="196">
        <v>5.3065854743076901</v>
      </c>
      <c r="Q109" s="196">
        <v>6.1361979355975468E-2</v>
      </c>
      <c r="R109" s="196">
        <v>-0.3716327503475666</v>
      </c>
      <c r="S109" s="196">
        <v>-4.3865899835855329E-2</v>
      </c>
      <c r="T109" s="196">
        <v>1.122584233269627</v>
      </c>
      <c r="U109" s="196">
        <v>9.9933159338617648E-3</v>
      </c>
      <c r="V109" s="196">
        <v>2.9735073001872681E-3</v>
      </c>
      <c r="W109" s="196">
        <v>-0.1272822634306941</v>
      </c>
      <c r="X109" s="196">
        <v>-1.5023840103731423E-2</v>
      </c>
      <c r="Y109" s="196">
        <v>0.10310708273556649</v>
      </c>
      <c r="Z109" s="196">
        <v>8.0194092775554894E-4</v>
      </c>
      <c r="AA109" s="196">
        <v>3.2935359784235678</v>
      </c>
      <c r="AB109" s="196">
        <v>2.5338559576743944E-2</v>
      </c>
      <c r="AC109" s="196">
        <v>0.15281990315757074</v>
      </c>
      <c r="AD109" s="181" t="str">
        <f t="shared" si="1"/>
        <v>QX0226.dat</v>
      </c>
      <c r="AE109" s="6">
        <f t="shared" si="17"/>
        <v>88.0733944954126</v>
      </c>
      <c r="AF109" s="6" t="str">
        <f t="shared" si="2"/>
        <v>QX0126.dat</v>
      </c>
      <c r="AG109" s="6" cm="1">
        <f t="array" ref="AG109">IF(AD109=AF109,0,
  _xlfn.SWITCH(TRUE,
    $C109&lt;$H$7,  ($C109-$H$6)/($H$7-$H$6),
    $C109&lt;$H$8,  ($C109-$H$7)/($H$8-$H$7),
    $C109&lt;$H$9,  ($C109-$H$8)/($H$9-$H$8),
    $C109&lt;$H$10, ($C109-$H$9)/($H$10-$H$9),
    $C109&lt;$H$11, ($C109-$H$10)/($H$11-$H$10),
    $C109&lt;$H$12, ($C109-$H$11)/($H$12-$H$11),
    ($C109-$H$12)/($H$13-$H$12)
  )*100
)</f>
        <v>11.926605504587393</v>
      </c>
      <c r="AH109" s="6">
        <f t="shared" si="20"/>
        <v>0.23523394495412842</v>
      </c>
      <c r="AI109" s="6">
        <f t="shared" si="21"/>
        <v>-0.38380275229357796</v>
      </c>
      <c r="AJ109" s="6">
        <f t="shared" si="22"/>
        <v>8.8680154165945559</v>
      </c>
      <c r="AK109" s="6">
        <f t="shared" si="23"/>
        <v>0.13327379066625816</v>
      </c>
      <c r="AL109" s="6">
        <f t="shared" si="5"/>
        <v>3.5499999999999972</v>
      </c>
      <c r="AM109" s="30">
        <f t="shared" si="6"/>
        <v>6</v>
      </c>
      <c r="AN109" s="198">
        <v>3.4325452728794574</v>
      </c>
      <c r="AO109" s="196">
        <v>11.248352049491016</v>
      </c>
      <c r="AP109" s="196">
        <v>8.8422740622018381</v>
      </c>
      <c r="AQ109" s="196">
        <v>0.56580143191917054</v>
      </c>
      <c r="AR109" s="196">
        <v>0.41918948248282178</v>
      </c>
      <c r="AS109" s="196">
        <v>-8.6974081799099268E-2</v>
      </c>
      <c r="AT109" s="196">
        <f t="shared" si="24"/>
        <v>0</v>
      </c>
      <c r="AU109" s="196">
        <f t="shared" si="25"/>
        <v>0</v>
      </c>
      <c r="AV109" s="196">
        <f t="shared" si="9"/>
        <v>0</v>
      </c>
      <c r="AW109" s="196">
        <f t="shared" si="18"/>
        <v>0</v>
      </c>
      <c r="AX109" s="198">
        <f t="shared" si="19"/>
        <v>0</v>
      </c>
      <c r="AY109" s="164"/>
      <c r="AZ109" s="23"/>
      <c r="BA109" s="23"/>
      <c r="BB109" s="23"/>
      <c r="BC109" s="23"/>
      <c r="BD109" s="23"/>
      <c r="BE109" s="23"/>
      <c r="BF109" s="23"/>
      <c r="BG109" s="23"/>
      <c r="BH109" s="23"/>
      <c r="BI109" s="23"/>
      <c r="BJ109" s="23"/>
      <c r="BK109" s="23"/>
      <c r="BL109" s="23"/>
      <c r="BM109" s="23"/>
      <c r="BN109" s="23"/>
    </row>
    <row r="110" spans="1:66">
      <c r="A110" s="23">
        <f t="shared" si="10"/>
        <v>0.1408286490509861</v>
      </c>
      <c r="B110" s="158">
        <v>59</v>
      </c>
      <c r="C110" s="6">
        <f t="shared" si="26"/>
        <v>9.0250000000000075</v>
      </c>
      <c r="D110" s="6">
        <f t="shared" si="11"/>
        <v>616.28440366972484</v>
      </c>
      <c r="E110" s="87">
        <v>0.15</v>
      </c>
      <c r="F110" s="87" t="str">
        <f t="shared" si="27"/>
        <v>4th</v>
      </c>
      <c r="G110" s="87" t="str" cm="1">
        <f t="array" ref="G110">_xlfn.SWITCH(TRUE,
  OR(C110=$F$46, C110=$G$46, C110=$H$46, C110=$I$46), "端リブ",
  C110&lt;$F$46, "0番",
  C110&lt;$G$46, "1番",
  C110&lt;$H$46, "2番",
  C110&lt;$I$46, "3番",
  C110&lt;$J$46, "4番",
  "ウィングレット"
)</f>
        <v>3番</v>
      </c>
      <c r="H110" s="229" t="s">
        <v>756</v>
      </c>
      <c r="I110" s="6">
        <f>'主翼(桁)'!F104*2</f>
        <v>71.790499999999938</v>
      </c>
      <c r="J110" s="6">
        <f>'主翼(桁)'!G104*2</f>
        <v>71.20249999999993</v>
      </c>
      <c r="K110" s="6">
        <f t="shared" si="0"/>
        <v>0.38</v>
      </c>
      <c r="L110" s="6">
        <f>'主翼(平面形結果)'!O267</f>
        <v>85.211901151372331</v>
      </c>
      <c r="M110" s="196">
        <f t="shared" si="13"/>
        <v>13.421401151372393</v>
      </c>
      <c r="N110" s="273">
        <v>4.7132558664917275</v>
      </c>
      <c r="O110" s="196">
        <v>313919.33978906082</v>
      </c>
      <c r="P110" s="196">
        <v>5.1896819293546672</v>
      </c>
      <c r="Q110" s="196">
        <v>6.1441620902925223E-2</v>
      </c>
      <c r="R110" s="196">
        <v>-0.35979262562187786</v>
      </c>
      <c r="S110" s="196">
        <v>-4.0674798727385636E-2</v>
      </c>
      <c r="T110" s="196">
        <v>1.1030852603282431</v>
      </c>
      <c r="U110" s="196">
        <v>9.9505190264613311E-3</v>
      </c>
      <c r="V110" s="196">
        <v>3.0956468794066314E-3</v>
      </c>
      <c r="W110" s="196">
        <v>-0.12436846476442995</v>
      </c>
      <c r="X110" s="196">
        <v>-1.4059938731605673E-2</v>
      </c>
      <c r="Y110" s="196">
        <v>0.10375856218071046</v>
      </c>
      <c r="Z110" s="196">
        <v>7.9661767321612586E-4</v>
      </c>
      <c r="AA110" s="196">
        <v>3.2219071144415357</v>
      </c>
      <c r="AB110" s="196">
        <v>2.6784383062276623E-2</v>
      </c>
      <c r="AC110" s="196">
        <v>0.16153979368972685</v>
      </c>
      <c r="AD110" s="181" t="str">
        <f t="shared" si="1"/>
        <v>QX0226.dat</v>
      </c>
      <c r="AE110" s="6">
        <f t="shared" si="17"/>
        <v>82.568807339449293</v>
      </c>
      <c r="AF110" s="6" t="str">
        <f t="shared" si="2"/>
        <v>QX0126.dat</v>
      </c>
      <c r="AG110" s="6" cm="1">
        <f t="array" ref="AG110">IF(AD110=AF110,0,
  _xlfn.SWITCH(TRUE,
    $C110&lt;$H$7,  ($C110-$H$6)/($H$7-$H$6),
    $C110&lt;$H$8,  ($C110-$H$7)/($H$8-$H$7),
    $C110&lt;$H$9,  ($C110-$H$8)/($H$9-$H$8),
    $C110&lt;$H$10, ($C110-$H$9)/($H$10-$H$9),
    $C110&lt;$H$11, ($C110-$H$10)/($H$11-$H$10),
    $C110&lt;$H$12, ($C110-$H$11)/($H$12-$H$11),
    ($C110-$H$12)/($H$13-$H$12)
  )*100
)</f>
        <v>17.43119266055071</v>
      </c>
      <c r="AH110" s="6">
        <f t="shared" si="20"/>
        <v>0.23418807339449543</v>
      </c>
      <c r="AI110" s="6">
        <f t="shared" si="21"/>
        <v>-0.38209633027522938</v>
      </c>
      <c r="AJ110" s="6">
        <f t="shared" si="22"/>
        <v>9.0171937008997975</v>
      </c>
      <c r="AK110" s="6">
        <f t="shared" si="23"/>
        <v>0.14895306015640619</v>
      </c>
      <c r="AL110" s="6">
        <f t="shared" si="5"/>
        <v>3.4899999999999971</v>
      </c>
      <c r="AM110" s="30">
        <f t="shared" si="6"/>
        <v>6</v>
      </c>
      <c r="AN110" s="198">
        <v>3.371599504899931</v>
      </c>
      <c r="AO110" s="196">
        <v>11.330976769822477</v>
      </c>
      <c r="AP110" s="196">
        <v>8.9893926958843959</v>
      </c>
      <c r="AQ110" s="196">
        <v>0.59506074878367476</v>
      </c>
      <c r="AR110" s="196">
        <v>0.43281900894373165</v>
      </c>
      <c r="AS110" s="196">
        <v>-8.7949923343379227E-2</v>
      </c>
      <c r="AT110" s="196">
        <f t="shared" si="24"/>
        <v>0</v>
      </c>
      <c r="AU110" s="196">
        <f t="shared" si="25"/>
        <v>0</v>
      </c>
      <c r="AV110" s="196">
        <f t="shared" si="9"/>
        <v>0</v>
      </c>
      <c r="AW110" s="196">
        <f t="shared" si="18"/>
        <v>0</v>
      </c>
      <c r="AX110" s="198">
        <f t="shared" si="19"/>
        <v>0</v>
      </c>
      <c r="AY110" s="164"/>
      <c r="AZ110" s="23"/>
      <c r="BA110" s="23"/>
      <c r="BB110" s="23"/>
      <c r="BC110" s="23"/>
      <c r="BD110" s="23"/>
      <c r="BE110" s="23"/>
      <c r="BF110" s="23"/>
      <c r="BG110" s="23"/>
      <c r="BH110" s="23"/>
      <c r="BI110" s="23"/>
      <c r="BJ110" s="23"/>
      <c r="BK110" s="23"/>
      <c r="BL110" s="23"/>
      <c r="BM110" s="23"/>
      <c r="BN110" s="23"/>
    </row>
    <row r="111" spans="1:66">
      <c r="A111" s="23">
        <f t="shared" si="10"/>
        <v>0.13938227289719615</v>
      </c>
      <c r="B111" s="100">
        <v>60</v>
      </c>
      <c r="C111" s="6">
        <f t="shared" si="26"/>
        <v>9.1750000000000078</v>
      </c>
      <c r="D111" s="6">
        <f t="shared" si="11"/>
        <v>613.53211009174311</v>
      </c>
      <c r="E111" s="87">
        <v>0.15</v>
      </c>
      <c r="F111" s="87" t="str">
        <f t="shared" si="27"/>
        <v>4th</v>
      </c>
      <c r="G111" s="87" t="str" cm="1">
        <f t="array" ref="G111">_xlfn.SWITCH(TRUE,
  OR(C111=$F$46, C111=$G$46, C111=$H$46, C111=$I$46), "端リブ",
  C111&lt;$F$46, "0番",
  C111&lt;$G$46, "1番",
  C111&lt;$H$46, "2番",
  C111&lt;$I$46, "3番",
  C111&lt;$J$46, "4番",
  "ウィングレット"
)</f>
        <v>3番</v>
      </c>
      <c r="H111" s="229" t="s">
        <v>942</v>
      </c>
      <c r="I111" s="6">
        <f>'主翼(桁)'!F105*2</f>
        <v>70.515499999999932</v>
      </c>
      <c r="J111" s="6">
        <f>'主翼(桁)'!G105*2</f>
        <v>69.927499999999924</v>
      </c>
      <c r="K111" s="6">
        <f t="shared" si="0"/>
        <v>0.38</v>
      </c>
      <c r="L111" s="6">
        <f>'主翼(平面形結果)'!O268</f>
        <v>84.51447887393573</v>
      </c>
      <c r="M111" s="196">
        <f t="shared" si="13"/>
        <v>13.998978873935798</v>
      </c>
      <c r="N111" s="273">
        <v>4.6453338583756754</v>
      </c>
      <c r="O111" s="196">
        <v>312514.25509026612</v>
      </c>
      <c r="P111" s="196">
        <v>5.0743246044110721</v>
      </c>
      <c r="Q111" s="196">
        <v>6.1335534345710922E-2</v>
      </c>
      <c r="R111" s="196">
        <v>-0.34809017315344282</v>
      </c>
      <c r="S111" s="196">
        <v>-3.7462366521031069E-2</v>
      </c>
      <c r="T111" s="196">
        <v>1.0837218266896393</v>
      </c>
      <c r="U111" s="196">
        <v>9.9082340007279439E-3</v>
      </c>
      <c r="V111" s="196">
        <v>3.1782249359739996E-3</v>
      </c>
      <c r="W111" s="196">
        <v>-0.12144209573258478</v>
      </c>
      <c r="X111" s="196">
        <v>-1.3069913063620875E-2</v>
      </c>
      <c r="Y111" s="196">
        <v>0.10436241115243165</v>
      </c>
      <c r="Z111" s="196">
        <v>7.9264411491881915E-4</v>
      </c>
      <c r="AA111" s="196">
        <v>3.1511821991547202</v>
      </c>
      <c r="AB111" s="196">
        <v>2.7940085095427773E-2</v>
      </c>
      <c r="AC111" s="196">
        <v>0.16850993047692858</v>
      </c>
      <c r="AD111" s="181" t="str">
        <f t="shared" si="1"/>
        <v>QX0226.dat</v>
      </c>
      <c r="AE111" s="6">
        <f t="shared" si="17"/>
        <v>77.064220183485972</v>
      </c>
      <c r="AF111" s="6" t="str">
        <f t="shared" si="2"/>
        <v>QX0126.dat</v>
      </c>
      <c r="AG111" s="6" cm="1">
        <f t="array" ref="AG111">IF(AD111=AF111,0,
  _xlfn.SWITCH(TRUE,
    $C111&lt;$H$7,  ($C111-$H$6)/($H$7-$H$6),
    $C111&lt;$H$8,  ($C111-$H$7)/($H$8-$H$7),
    $C111&lt;$H$9,  ($C111-$H$8)/($H$9-$H$8),
    $C111&lt;$H$10, ($C111-$H$9)/($H$10-$H$9),
    $C111&lt;$H$11, ($C111-$H$10)/($H$11-$H$10),
    $C111&lt;$H$12, ($C111-$H$11)/($H$12-$H$11),
    ($C111-$H$12)/($H$13-$H$12)
  )*100
)</f>
        <v>22.935779816514028</v>
      </c>
      <c r="AH111" s="6">
        <f t="shared" si="20"/>
        <v>0.23314220183486239</v>
      </c>
      <c r="AI111" s="6">
        <f t="shared" si="21"/>
        <v>-0.38038990825688074</v>
      </c>
      <c r="AJ111" s="6">
        <f t="shared" si="22"/>
        <v>9.1663719852050392</v>
      </c>
      <c r="AK111" s="6">
        <f t="shared" si="23"/>
        <v>0.16463232964655422</v>
      </c>
      <c r="AL111" s="6">
        <f t="shared" si="5"/>
        <v>3.4299999999999966</v>
      </c>
      <c r="AM111" s="30">
        <f t="shared" si="6"/>
        <v>6</v>
      </c>
      <c r="AN111" s="198">
        <v>3.3107137622936151</v>
      </c>
      <c r="AO111" s="196">
        <v>11.411659351096192</v>
      </c>
      <c r="AP111" s="196">
        <v>9.1364689825264911</v>
      </c>
      <c r="AQ111" s="196">
        <v>0.62453219102140745</v>
      </c>
      <c r="AR111" s="196">
        <v>0.44666728588611165</v>
      </c>
      <c r="AS111" s="196">
        <v>-8.8865749734943045E-2</v>
      </c>
      <c r="AT111" s="196">
        <f t="shared" si="24"/>
        <v>0</v>
      </c>
      <c r="AU111" s="196">
        <f t="shared" si="25"/>
        <v>0</v>
      </c>
      <c r="AV111" s="196">
        <f t="shared" si="9"/>
        <v>0</v>
      </c>
      <c r="AW111" s="196">
        <f t="shared" si="18"/>
        <v>0</v>
      </c>
      <c r="AX111" s="198">
        <f t="shared" si="19"/>
        <v>0</v>
      </c>
      <c r="AY111" s="164"/>
      <c r="AZ111" s="23"/>
      <c r="BA111" s="23"/>
      <c r="BB111" s="23"/>
      <c r="BC111" s="23"/>
      <c r="BD111" s="23"/>
      <c r="BE111" s="23"/>
      <c r="BF111" s="23"/>
      <c r="BG111" s="23"/>
      <c r="BH111" s="23"/>
      <c r="BI111" s="23"/>
      <c r="BJ111" s="23"/>
      <c r="BK111" s="23"/>
      <c r="BL111" s="23"/>
      <c r="BM111" s="23"/>
      <c r="BN111" s="23"/>
    </row>
    <row r="112" spans="1:66">
      <c r="A112" s="23">
        <f t="shared" si="10"/>
        <v>0.13792286143447227</v>
      </c>
      <c r="B112" s="100">
        <v>61</v>
      </c>
      <c r="C112" s="6">
        <f t="shared" si="26"/>
        <v>9.3250000000000082</v>
      </c>
      <c r="D112" s="6">
        <f t="shared" si="11"/>
        <v>610.77981651376149</v>
      </c>
      <c r="E112" s="87">
        <v>0.15</v>
      </c>
      <c r="F112" s="87" t="str">
        <f t="shared" si="27"/>
        <v>4th</v>
      </c>
      <c r="G112" s="87" t="str" cm="1">
        <f t="array" ref="G112">_xlfn.SWITCH(TRUE,
  OR(C112=$F$46, C112=$G$46, C112=$H$46, C112=$I$46), "端リブ",
  C112&lt;$F$46, "0番",
  C112&lt;$G$46, "1番",
  C112&lt;$H$46, "2番",
  C112&lt;$I$46, "3番",
  C112&lt;$J$46, "4番",
  "ウィングレット"
)</f>
        <v>3番</v>
      </c>
      <c r="H112" s="229" t="s">
        <v>756</v>
      </c>
      <c r="I112" s="6">
        <f>'主翼(桁)'!F106*2</f>
        <v>69.240499999999926</v>
      </c>
      <c r="J112" s="6">
        <f>'主翼(桁)'!G106*2</f>
        <v>68.652499999999918</v>
      </c>
      <c r="K112" s="6">
        <f t="shared" si="0"/>
        <v>0.38</v>
      </c>
      <c r="L112" s="6">
        <f>'主翼(平面形結果)'!O269</f>
        <v>83.819899546152314</v>
      </c>
      <c r="M112" s="196">
        <f t="shared" si="13"/>
        <v>14.579399546152388</v>
      </c>
      <c r="N112" s="273">
        <v>4.5781569300718354</v>
      </c>
      <c r="O112" s="196">
        <v>311109.17039147142</v>
      </c>
      <c r="P112" s="196">
        <v>4.9600107876914379</v>
      </c>
      <c r="Q112" s="196">
        <v>6.1143700102972411E-2</v>
      </c>
      <c r="R112" s="196">
        <v>-0.33653382446956387</v>
      </c>
      <c r="S112" s="196">
        <v>-3.4268946880202593E-2</v>
      </c>
      <c r="T112" s="196">
        <v>1.0643878663697275</v>
      </c>
      <c r="U112" s="196">
        <v>9.8655497050666903E-3</v>
      </c>
      <c r="V112" s="196">
        <v>3.2430443443885698E-3</v>
      </c>
      <c r="W112" s="196">
        <v>-0.11850616659307522</v>
      </c>
      <c r="X112" s="196">
        <v>-1.2067379956102506E-2</v>
      </c>
      <c r="Y112" s="196">
        <v>0.10492871043424673</v>
      </c>
      <c r="Z112" s="196">
        <v>7.8945972190211486E-4</v>
      </c>
      <c r="AA112" s="196">
        <v>3.081048890937097</v>
      </c>
      <c r="AB112" s="196">
        <v>2.8983023885965846E-2</v>
      </c>
      <c r="AC112" s="196">
        <v>0.17479997832736766</v>
      </c>
      <c r="AD112" s="181" t="str">
        <f t="shared" si="1"/>
        <v>QX0226.dat</v>
      </c>
      <c r="AE112" s="6">
        <f t="shared" si="17"/>
        <v>71.559633027522665</v>
      </c>
      <c r="AF112" s="6" t="str">
        <f t="shared" si="2"/>
        <v>QX0126.dat</v>
      </c>
      <c r="AG112" s="6" cm="1">
        <f t="array" ref="AG112">IF(AD112=AF112,0,
  _xlfn.SWITCH(TRUE,
    $C112&lt;$H$7,  ($C112-$H$6)/($H$7-$H$6),
    $C112&lt;$H$8,  ($C112-$H$7)/($H$8-$H$7),
    $C112&lt;$H$9,  ($C112-$H$8)/($H$9-$H$8),
    $C112&lt;$H$10, ($C112-$H$9)/($H$10-$H$9),
    $C112&lt;$H$11, ($C112-$H$10)/($H$11-$H$10),
    $C112&lt;$H$12, ($C112-$H$11)/($H$12-$H$11),
    ($C112-$H$12)/($H$13-$H$12)
  )*100
)</f>
        <v>28.440366972477342</v>
      </c>
      <c r="AH112" s="6">
        <f t="shared" si="20"/>
        <v>0.23209633027522938</v>
      </c>
      <c r="AI112" s="6">
        <f t="shared" si="21"/>
        <v>-0.3786834862385321</v>
      </c>
      <c r="AJ112" s="6">
        <f t="shared" si="22"/>
        <v>9.3155502695102808</v>
      </c>
      <c r="AK112" s="6">
        <f t="shared" si="23"/>
        <v>0.18031159913670225</v>
      </c>
      <c r="AL112" s="6">
        <f t="shared" si="5"/>
        <v>3.3699999999999966</v>
      </c>
      <c r="AM112" s="30">
        <f t="shared" si="6"/>
        <v>6</v>
      </c>
      <c r="AN112" s="198">
        <v>3.2498878719939919</v>
      </c>
      <c r="AO112" s="196">
        <v>11.490271356365101</v>
      </c>
      <c r="AP112" s="196">
        <v>9.2835036223609677</v>
      </c>
      <c r="AQ112" s="196">
        <v>0.65421071336915726</v>
      </c>
      <c r="AR112" s="196">
        <v>0.46072939356295056</v>
      </c>
      <c r="AS112" s="196">
        <v>-8.9721574837689819E-2</v>
      </c>
      <c r="AT112" s="196">
        <f t="shared" si="24"/>
        <v>0</v>
      </c>
      <c r="AU112" s="196">
        <f t="shared" si="25"/>
        <v>0</v>
      </c>
      <c r="AV112" s="196">
        <f t="shared" si="9"/>
        <v>0</v>
      </c>
      <c r="AW112" s="196">
        <f t="shared" si="18"/>
        <v>0</v>
      </c>
      <c r="AX112" s="198">
        <f t="shared" si="19"/>
        <v>0</v>
      </c>
      <c r="AY112" s="164"/>
      <c r="AZ112" s="23"/>
      <c r="BA112" s="23"/>
      <c r="BB112" s="23"/>
      <c r="BC112" s="23"/>
      <c r="BD112" s="23"/>
      <c r="BE112" s="23"/>
      <c r="BF112" s="23"/>
      <c r="BG112" s="23"/>
      <c r="BH112" s="23"/>
      <c r="BI112" s="23"/>
      <c r="BJ112" s="23"/>
      <c r="BK112" s="23"/>
      <c r="BL112" s="23"/>
      <c r="BM112" s="23"/>
      <c r="BN112" s="23"/>
    </row>
    <row r="113" spans="1:66">
      <c r="A113" s="23">
        <f t="shared" si="10"/>
        <v>0.13645023764617115</v>
      </c>
      <c r="B113" s="100">
        <v>62</v>
      </c>
      <c r="C113" s="6">
        <f t="shared" si="26"/>
        <v>9.4750000000000085</v>
      </c>
      <c r="D113" s="6">
        <f t="shared" si="11"/>
        <v>608.02752293577976</v>
      </c>
      <c r="E113" s="87">
        <v>0.15</v>
      </c>
      <c r="F113" s="87" t="str">
        <f t="shared" si="27"/>
        <v>4th</v>
      </c>
      <c r="G113" s="87" t="str" cm="1">
        <f t="array" ref="G113">_xlfn.SWITCH(TRUE,
  OR(C113=$F$46, C113=$G$46, C113=$H$46, C113=$I$46), "端リブ",
  C113&lt;$F$46, "0番",
  C113&lt;$G$46, "1番",
  C113&lt;$H$46, "2番",
  C113&lt;$I$46, "3番",
  C113&lt;$J$46, "4番",
  "ウィングレット"
)</f>
        <v>3番</v>
      </c>
      <c r="H113" s="229" t="s">
        <v>942</v>
      </c>
      <c r="I113" s="6">
        <f>'主翼(桁)'!F107*2</f>
        <v>67.965499999999921</v>
      </c>
      <c r="J113" s="6">
        <f>'主翼(桁)'!G107*2</f>
        <v>67.377499999999912</v>
      </c>
      <c r="K113" s="6">
        <f t="shared" si="0"/>
        <v>0.38</v>
      </c>
      <c r="L113" s="6">
        <f>'主翼(平面形結果)'!O270</f>
        <v>83.128163168022027</v>
      </c>
      <c r="M113" s="196">
        <f t="shared" si="13"/>
        <v>15.162663168022107</v>
      </c>
      <c r="N113" s="273">
        <v>4.511122268884125</v>
      </c>
      <c r="O113" s="196">
        <v>309704.0856926766</v>
      </c>
      <c r="P113" s="196">
        <v>4.8464628951693065</v>
      </c>
      <c r="Q113" s="196">
        <v>6.0919360564881217E-2</v>
      </c>
      <c r="R113" s="196">
        <v>-0.32512829079123495</v>
      </c>
      <c r="S113" s="196">
        <v>-3.1116952311353856E-2</v>
      </c>
      <c r="T113" s="196">
        <v>1.0450238325393091</v>
      </c>
      <c r="U113" s="196">
        <v>9.8219514133461513E-3</v>
      </c>
      <c r="V113" s="196">
        <v>3.3018354504144448E-3</v>
      </c>
      <c r="W113" s="196">
        <v>-0.11556248621780997</v>
      </c>
      <c r="X113" s="196">
        <v>-1.106010296387909E-2</v>
      </c>
      <c r="Y113" s="196">
        <v>0.10546319147858761</v>
      </c>
      <c r="Z113" s="196">
        <v>7.8671555758120051E-4</v>
      </c>
      <c r="AA113" s="196">
        <v>3.0113344440517769</v>
      </c>
      <c r="AB113" s="196">
        <v>3.0012984271129337E-2</v>
      </c>
      <c r="AC113" s="196">
        <v>0.18101174823514823</v>
      </c>
      <c r="AD113" s="181" t="str">
        <f t="shared" si="1"/>
        <v>QX0226.dat</v>
      </c>
      <c r="AE113" s="6">
        <f t="shared" si="17"/>
        <v>66.055045871559344</v>
      </c>
      <c r="AF113" s="6" t="str">
        <f t="shared" si="2"/>
        <v>QX0126.dat</v>
      </c>
      <c r="AG113" s="6" cm="1">
        <f t="array" ref="AG113">IF(AD113=AF113,0,
  _xlfn.SWITCH(TRUE,
    $C113&lt;$H$7,  ($C113-$H$6)/($H$7-$H$6),
    $C113&lt;$H$8,  ($C113-$H$7)/($H$8-$H$7),
    $C113&lt;$H$9,  ($C113-$H$8)/($H$9-$H$8),
    $C113&lt;$H$10, ($C113-$H$9)/($H$10-$H$9),
    $C113&lt;$H$11, ($C113-$H$10)/($H$11-$H$10),
    $C113&lt;$H$12, ($C113-$H$11)/($H$12-$H$11),
    ($C113-$H$12)/($H$13-$H$12)
  )*100
)</f>
        <v>33.944954128440656</v>
      </c>
      <c r="AH113" s="6">
        <f t="shared" si="20"/>
        <v>0.23105045871559632</v>
      </c>
      <c r="AI113" s="6">
        <f t="shared" si="21"/>
        <v>-0.37697706422018346</v>
      </c>
      <c r="AJ113" s="6">
        <f t="shared" si="22"/>
        <v>9.4647285538155224</v>
      </c>
      <c r="AK113" s="6">
        <f t="shared" si="23"/>
        <v>0.19599086862685028</v>
      </c>
      <c r="AL113" s="6">
        <f t="shared" si="5"/>
        <v>3.3099999999999965</v>
      </c>
      <c r="AM113" s="30">
        <f t="shared" si="6"/>
        <v>6</v>
      </c>
      <c r="AN113" s="198">
        <v>3.1891213318246177</v>
      </c>
      <c r="AO113" s="196">
        <v>11.566678715809363</v>
      </c>
      <c r="AP113" s="196">
        <v>9.4304974037426366</v>
      </c>
      <c r="AQ113" s="196">
        <v>0.68409094487960898</v>
      </c>
      <c r="AR113" s="196">
        <v>0.4750000835046414</v>
      </c>
      <c r="AS113" s="196">
        <v>-9.0517730895716256E-2</v>
      </c>
      <c r="AT113" s="196">
        <f t="shared" si="24"/>
        <v>0</v>
      </c>
      <c r="AU113" s="196">
        <f t="shared" si="25"/>
        <v>0</v>
      </c>
      <c r="AV113" s="196">
        <f t="shared" si="9"/>
        <v>0</v>
      </c>
      <c r="AW113" s="196">
        <f t="shared" si="18"/>
        <v>0</v>
      </c>
      <c r="AX113" s="198">
        <f t="shared" si="19"/>
        <v>0</v>
      </c>
      <c r="AY113" s="164"/>
      <c r="AZ113" s="23"/>
      <c r="BA113" s="23"/>
      <c r="BB113" s="23"/>
      <c r="BC113" s="23"/>
      <c r="BD113" s="23"/>
      <c r="BE113" s="23"/>
      <c r="BF113" s="23"/>
      <c r="BG113" s="23"/>
      <c r="BH113" s="23"/>
      <c r="BI113" s="23"/>
      <c r="BJ113" s="23"/>
      <c r="BK113" s="23"/>
      <c r="BL113" s="23"/>
      <c r="BM113" s="23"/>
      <c r="BN113" s="23"/>
    </row>
    <row r="114" spans="1:66">
      <c r="A114" s="23">
        <f t="shared" si="10"/>
        <v>0.13496422129594532</v>
      </c>
      <c r="B114" s="100">
        <v>63</v>
      </c>
      <c r="C114" s="6">
        <f t="shared" si="26"/>
        <v>9.6250000000000089</v>
      </c>
      <c r="D114" s="6">
        <f t="shared" si="11"/>
        <v>605.27522935779814</v>
      </c>
      <c r="E114" s="87">
        <v>0.15</v>
      </c>
      <c r="F114" s="87" t="str">
        <f t="shared" si="27"/>
        <v>4th</v>
      </c>
      <c r="G114" s="87" t="str" cm="1">
        <f t="array" ref="G114">_xlfn.SWITCH(TRUE,
  OR(C114=$F$46, C114=$G$46, C114=$H$46, C114=$I$46), "端リブ",
  C114&lt;$F$46, "0番",
  C114&lt;$G$46, "1番",
  C114&lt;$H$46, "2番",
  C114&lt;$I$46, "3番",
  C114&lt;$J$46, "4番",
  "ウィングレット"
)</f>
        <v>3番</v>
      </c>
      <c r="H114" s="229" t="s">
        <v>756</v>
      </c>
      <c r="I114" s="6">
        <f>'主翼(桁)'!F108*2</f>
        <v>66.690499999999929</v>
      </c>
      <c r="J114" s="6">
        <f>'主翼(桁)'!G108*2</f>
        <v>66.102499999999921</v>
      </c>
      <c r="K114" s="6">
        <f t="shared" si="0"/>
        <v>0.38</v>
      </c>
      <c r="L114" s="6">
        <f>'主翼(平面形結果)'!O271</f>
        <v>82.439269739544926</v>
      </c>
      <c r="M114" s="196">
        <f t="shared" si="13"/>
        <v>15.748769739544997</v>
      </c>
      <c r="N114" s="273">
        <v>4.4438137851080484</v>
      </c>
      <c r="O114" s="196">
        <v>308299.0009938819</v>
      </c>
      <c r="P114" s="196">
        <v>4.7334930426830599</v>
      </c>
      <c r="Q114" s="196">
        <v>6.0696106016505685E-2</v>
      </c>
      <c r="R114" s="196">
        <v>-0.3138766358924302</v>
      </c>
      <c r="S114" s="196">
        <v>-2.8021425310216935E-2</v>
      </c>
      <c r="T114" s="196">
        <v>1.0255884893238938</v>
      </c>
      <c r="U114" s="196">
        <v>9.7770878337429153E-3</v>
      </c>
      <c r="V114" s="196">
        <v>3.3621239252432807E-3</v>
      </c>
      <c r="W114" s="196">
        <v>-0.11261234811264739</v>
      </c>
      <c r="X114" s="196">
        <v>-1.0053499180258038E-2</v>
      </c>
      <c r="Y114" s="196">
        <v>0.10596972047708471</v>
      </c>
      <c r="Z114" s="196">
        <v>7.8414865667072477E-4</v>
      </c>
      <c r="AA114" s="196">
        <v>2.9419217520301864</v>
      </c>
      <c r="AB114" s="196">
        <v>3.10987204110896E-2</v>
      </c>
      <c r="AC114" s="196">
        <v>0.18755990137875575</v>
      </c>
      <c r="AD114" s="181" t="str">
        <f t="shared" si="1"/>
        <v>QX0226.dat</v>
      </c>
      <c r="AE114" s="6">
        <f t="shared" si="17"/>
        <v>60.550458715596022</v>
      </c>
      <c r="AF114" s="6" t="str">
        <f t="shared" si="2"/>
        <v>QX0126.dat</v>
      </c>
      <c r="AG114" s="6" cm="1">
        <f t="array" ref="AG114">IF(AD114=AF114,0,
  _xlfn.SWITCH(TRUE,
    $C114&lt;$H$7,  ($C114-$H$6)/($H$7-$H$6),
    $C114&lt;$H$8,  ($C114-$H$7)/($H$8-$H$7),
    $C114&lt;$H$9,  ($C114-$H$8)/($H$9-$H$8),
    $C114&lt;$H$10, ($C114-$H$9)/($H$10-$H$9),
    $C114&lt;$H$11, ($C114-$H$10)/($H$11-$H$10),
    $C114&lt;$H$12, ($C114-$H$11)/($H$12-$H$11),
    ($C114-$H$12)/($H$13-$H$12)
  )*100
)</f>
        <v>39.449541284403978</v>
      </c>
      <c r="AH114" s="6">
        <f t="shared" si="20"/>
        <v>0.23000458715596328</v>
      </c>
      <c r="AI114" s="6">
        <f t="shared" si="21"/>
        <v>-0.37527064220183481</v>
      </c>
      <c r="AJ114" s="6">
        <f t="shared" si="22"/>
        <v>9.613906838120764</v>
      </c>
      <c r="AK114" s="6">
        <f t="shared" si="23"/>
        <v>0.21167013811699831</v>
      </c>
      <c r="AL114" s="6">
        <f t="shared" si="5"/>
        <v>3.2499999999999964</v>
      </c>
      <c r="AM114" s="30">
        <f t="shared" si="6"/>
        <v>6</v>
      </c>
      <c r="AN114" s="198">
        <v>3.128413283776005</v>
      </c>
      <c r="AO114" s="196">
        <v>11.640741958080003</v>
      </c>
      <c r="AP114" s="196">
        <v>9.5774512073491831</v>
      </c>
      <c r="AQ114" s="196">
        <v>0.7141671747890993</v>
      </c>
      <c r="AR114" s="196">
        <v>0.48947376354361283</v>
      </c>
      <c r="AS114" s="196">
        <v>-9.1254889691238045E-2</v>
      </c>
      <c r="AT114" s="196">
        <f t="shared" si="24"/>
        <v>0</v>
      </c>
      <c r="AU114" s="196">
        <f t="shared" si="25"/>
        <v>0</v>
      </c>
      <c r="AV114" s="196">
        <f t="shared" si="9"/>
        <v>0</v>
      </c>
      <c r="AW114" s="196">
        <f t="shared" si="18"/>
        <v>0</v>
      </c>
      <c r="AX114" s="198">
        <f t="shared" si="19"/>
        <v>0</v>
      </c>
      <c r="AY114" s="164"/>
      <c r="AZ114" s="23"/>
      <c r="BA114" s="23"/>
      <c r="BB114" s="23"/>
      <c r="BC114" s="23"/>
      <c r="BD114" s="23"/>
      <c r="BE114" s="23"/>
      <c r="BF114" s="23"/>
      <c r="BG114" s="23"/>
      <c r="BH114" s="23"/>
      <c r="BI114" s="23"/>
      <c r="BJ114" s="23"/>
      <c r="BK114" s="23"/>
      <c r="BL114" s="23"/>
      <c r="BM114" s="23"/>
      <c r="BN114" s="23"/>
    </row>
    <row r="115" spans="1:66">
      <c r="A115" s="23">
        <f t="shared" si="10"/>
        <v>0.13346462885420618</v>
      </c>
      <c r="B115" s="100">
        <v>64</v>
      </c>
      <c r="C115" s="6">
        <f t="shared" si="26"/>
        <v>9.7750000000000092</v>
      </c>
      <c r="D115" s="6">
        <f t="shared" ref="D115:D138" si="28">IF($C115&lt;$H$7,$H$19*$C115+$I$19,IF($C115&lt;$H$8,$H$20*$C115+$I$20,IF($C115&lt;$H$9,$H$21*$C115+$I$21,IF($C115&lt;$H$10,$H$22*$C115+$I$22,IF($C115&lt;$H$11,$H$23*$C115+$I$23,IF($C115&lt;$H$12,$H$24*$C115+$I$24,$H$25*$C115+$I$25))))))*10^3</f>
        <v>602.52293577981652</v>
      </c>
      <c r="E115" s="87">
        <v>0.15</v>
      </c>
      <c r="F115" s="87" t="str">
        <f t="shared" si="27"/>
        <v>4th</v>
      </c>
      <c r="G115" s="87" t="str" cm="1">
        <f t="array" ref="G115">_xlfn.SWITCH(TRUE,
  OR(C115=$F$46, C115=$G$46, C115=$H$46, C115=$I$46), "端リブ",
  C115&lt;$F$46, "0番",
  C115&lt;$G$46, "1番",
  C115&lt;$H$46, "2番",
  C115&lt;$I$46, "3番",
  C115&lt;$J$46, "4番",
  "ウィングレット"
)</f>
        <v>3番</v>
      </c>
      <c r="H115" s="229" t="s">
        <v>942</v>
      </c>
      <c r="I115" s="6">
        <f>'主翼(桁)'!F109*2</f>
        <v>65.415499999999923</v>
      </c>
      <c r="J115" s="6">
        <f>'主翼(桁)'!G109*2</f>
        <v>64.827499999999915</v>
      </c>
      <c r="K115" s="6">
        <f t="shared" ref="K115:K138" si="29">IF($C115&lt;$H$7,$L$19*$C115+$M$19,IF($C115&lt;$H$8,$L$20*$C115+$M$20,IF($C115&lt;$H$9,$L$21*$C115+$M$21,IF($C115&lt;$H$10,$L$22*$C115+$M$23,IF($C115&lt;$H$11,$L$23*$C115+$M$22,IF($C115&lt;$H$12,$L$24*$C115+$M$24,$L$25*$C115+$M$25))))))</f>
        <v>0.38</v>
      </c>
      <c r="L115" s="6">
        <f>'主翼(平面形結果)'!O272</f>
        <v>81.753219260720954</v>
      </c>
      <c r="M115" s="196">
        <f t="shared" si="13"/>
        <v>16.33771926072103</v>
      </c>
      <c r="N115" s="273">
        <v>4.3758934582195499</v>
      </c>
      <c r="O115" s="196">
        <v>306893.91629508708</v>
      </c>
      <c r="P115" s="196">
        <v>4.620950718327749</v>
      </c>
      <c r="Q115" s="196">
        <v>6.0498179356424195E-2</v>
      </c>
      <c r="R115" s="196">
        <v>-0.30278107055051195</v>
      </c>
      <c r="S115" s="196">
        <v>-2.4994101909754433E-2</v>
      </c>
      <c r="T115" s="196">
        <v>1.0060479717406206</v>
      </c>
      <c r="U115" s="196">
        <v>9.7306818980024377E-3</v>
      </c>
      <c r="V115" s="196">
        <v>3.4294651374092702E-3</v>
      </c>
      <c r="W115" s="196">
        <v>-0.10965679326114466</v>
      </c>
      <c r="X115" s="196">
        <v>-9.0519960870826255E-3</v>
      </c>
      <c r="Y115" s="196">
        <v>0.10645124311560208</v>
      </c>
      <c r="Z115" s="196">
        <v>7.8153293858721461E-4</v>
      </c>
      <c r="AA115" s="196">
        <v>2.8727169119673834</v>
      </c>
      <c r="AB115" s="196">
        <v>3.2295959849780322E-2</v>
      </c>
      <c r="AC115" s="196">
        <v>0.19478053329009595</v>
      </c>
      <c r="AD115" s="181" t="str">
        <f t="shared" ref="AD115:AD138" si="30">IF($C115&lt;$H$7,$M$6,IF($C115&lt;$H$8,$M$7,IF($C115&lt;$H$9,$M$8,IF($C115&lt;$H$10,$M$9,IF($C115&lt;$H$11,$M$10,IF($C115&lt;$H$12,$M$11,$M$12))))))</f>
        <v>QX0226.dat</v>
      </c>
      <c r="AE115" s="6">
        <f t="shared" si="17"/>
        <v>55.045871559632708</v>
      </c>
      <c r="AF115" s="6" t="str">
        <f t="shared" ref="AF115:AF138" si="31">IF($C115&lt;$H$7,$M$7,IF($C115&lt;$H$8,$M$8,IF($C115&lt;$H$9,$M$9,IF($C115&lt;$H$10,$M$10,IF($C115&lt;$H$11,$M$11,IF($C115&lt;$H$12,$M$12,$M$13))))))</f>
        <v>QX0126.dat</v>
      </c>
      <c r="AG115" s="6" cm="1">
        <f t="array" ref="AG115">IF(AD115=AF115,0,
  _xlfn.SWITCH(TRUE,
    $C115&lt;$H$7,  ($C115-$H$6)/($H$7-$H$6),
    $C115&lt;$H$8,  ($C115-$H$7)/($H$8-$H$7),
    $C115&lt;$H$9,  ($C115-$H$8)/($H$9-$H$8),
    $C115&lt;$H$10, ($C115-$H$9)/($H$10-$H$9),
    $C115&lt;$H$11, ($C115-$H$10)/($H$11-$H$10),
    $C115&lt;$H$12, ($C115-$H$11)/($H$12-$H$11),
    ($C115-$H$12)/($H$13-$H$12)
  )*100
)</f>
        <v>44.954128440367292</v>
      </c>
      <c r="AH115" s="6">
        <f t="shared" ref="AH115:AH138" si="32">D115*K115/1000</f>
        <v>0.22895871559633027</v>
      </c>
      <c r="AI115" s="6">
        <f t="shared" ref="AI115:AI138" si="33">AH115-D115/1000</f>
        <v>-0.37356422018348623</v>
      </c>
      <c r="AJ115" s="6">
        <f t="shared" ref="AJ115:AJ138" si="34">AJ114+E114*COS(RADIANS(AM114))</f>
        <v>9.7630851224260056</v>
      </c>
      <c r="AK115" s="6">
        <f t="shared" ref="AK115:AK138" si="35">AK114+E114*SIN(RADIANS(AM114))</f>
        <v>0.22734940760714634</v>
      </c>
      <c r="AL115" s="6">
        <f t="shared" ref="AL115:AL138" si="36">IF($C115&lt;$H$7,$J$19*$C115+$K$19,IF($C115&lt;$H$8,$J$20*$C115+$K$20,IF($C115&lt;$H$9,$J$21*$C115+$K$21,IF($C115&lt;$H$10,$J$22*$C115+$K$22,IF($C115&lt;$H$11,$J$23*$C115+$K$23,IF($C115&lt;$H$12,$J$24*$C115+$K$24,$J$25*$C115+$K$25))))))</f>
        <v>3.1899999999999964</v>
      </c>
      <c r="AM115" s="30">
        <f t="shared" ref="AM115:AM138" si="37">IF($C115&lt;$H$7,$K$6,IF($C115&lt;$H$8,$K$7,IF($C115&lt;$H$9,$K$8,IF($C115&lt;$H$10,$K$9,IF($C115&lt;$H$11,$K$10,IF($C115&lt;$H$12,$K$11,$K$12))))))</f>
        <v>6</v>
      </c>
      <c r="AN115" s="198">
        <v>3.067762478351062</v>
      </c>
      <c r="AO115" s="196">
        <v>11.712316569101798</v>
      </c>
      <c r="AP115" s="196">
        <v>9.7243660102299057</v>
      </c>
      <c r="AQ115" s="196">
        <v>0.74443333897484532</v>
      </c>
      <c r="AR115" s="196">
        <v>0.50414448330080919</v>
      </c>
      <c r="AS115" s="196">
        <v>-9.1934094783871392E-2</v>
      </c>
      <c r="AT115" s="196">
        <f t="shared" ref="AT115:AT133" si="38">$AY$45*(D115/10^3)^2</f>
        <v>0</v>
      </c>
      <c r="AU115" s="196">
        <f t="shared" ref="AU115:AU133" si="39">D115*$AZ$45/10^3</f>
        <v>0</v>
      </c>
      <c r="AV115" s="196">
        <f t="shared" ref="AV115:AV133" si="40">$AU$51*0.85/2</f>
        <v>0</v>
      </c>
      <c r="AW115" s="196">
        <f t="shared" si="18"/>
        <v>0</v>
      </c>
      <c r="AX115" s="198">
        <f t="shared" si="19"/>
        <v>0</v>
      </c>
      <c r="AY115" s="164"/>
      <c r="AZ115" s="23"/>
      <c r="BA115" s="23"/>
      <c r="BB115" s="23"/>
      <c r="BC115" s="23"/>
      <c r="BD115" s="23"/>
      <c r="BE115" s="23"/>
      <c r="BF115" s="23"/>
      <c r="BG115" s="23"/>
      <c r="BH115" s="23"/>
      <c r="BI115" s="23"/>
      <c r="BJ115" s="23"/>
      <c r="BK115" s="23"/>
      <c r="BL115" s="23"/>
      <c r="BM115" s="23"/>
      <c r="BN115" s="23"/>
    </row>
    <row r="116" spans="1:66">
      <c r="A116" s="23">
        <f t="shared" ref="A116:A138" si="41">(I116+15)/D116</f>
        <v>0.13195127342256199</v>
      </c>
      <c r="B116" s="100">
        <v>65</v>
      </c>
      <c r="C116" s="6">
        <f t="shared" ref="C116:C138" si="42">C115+E115</f>
        <v>9.9250000000000096</v>
      </c>
      <c r="D116" s="6">
        <f t="shared" si="28"/>
        <v>599.7706422018349</v>
      </c>
      <c r="E116" s="87">
        <v>0.15</v>
      </c>
      <c r="F116" s="87" t="str">
        <f t="shared" ref="F116:F138" si="43">IF(C116&lt;$H$7,"flat",IF(C116&lt;$H$8,"1st",IF(C116&lt;$H$9,"2nd",IF(C116&lt;$H$10,"3rd",IF(C116&lt;$H$11,"4th",IF(C116&lt;$H$12,"5th","6th"))))))</f>
        <v>4th</v>
      </c>
      <c r="G116" s="87" t="str" cm="1">
        <f t="array" ref="G116">_xlfn.SWITCH(TRUE,
  OR(C116=$F$46, C116=$G$46, C116=$H$46, C116=$I$46), "端リブ",
  C116&lt;$F$46, "0番",
  C116&lt;$G$46, "1番",
  C116&lt;$H$46, "2番",
  C116&lt;$I$46, "3番",
  C116&lt;$J$46, "4番",
  "ウィングレット"
)</f>
        <v>3番</v>
      </c>
      <c r="H116" s="229" t="s">
        <v>756</v>
      </c>
      <c r="I116" s="6">
        <f>'主翼(桁)'!F110*2</f>
        <v>64.140499999999918</v>
      </c>
      <c r="J116" s="6">
        <f>'主翼(桁)'!G110*2</f>
        <v>63.55249999999991</v>
      </c>
      <c r="K116" s="6">
        <f t="shared" si="29"/>
        <v>0.38</v>
      </c>
      <c r="L116" s="6">
        <f>'主翼(平面形結果)'!O273</f>
        <v>81.070011731550167</v>
      </c>
      <c r="M116" s="196">
        <f t="shared" ref="M116:M144" si="44">L116-I116</f>
        <v>16.929511731550249</v>
      </c>
      <c r="N116" s="273">
        <v>4.3070456388304592</v>
      </c>
      <c r="O116" s="196">
        <v>305488.83159629232</v>
      </c>
      <c r="P116" s="196">
        <v>4.5086960021880884</v>
      </c>
      <c r="Q116" s="196">
        <v>6.034545887398382E-2</v>
      </c>
      <c r="R116" s="196">
        <v>-0.2918433308139019</v>
      </c>
      <c r="S116" s="196">
        <v>-2.2045443893977067E-2</v>
      </c>
      <c r="T116" s="196">
        <v>0.98637011453190238</v>
      </c>
      <c r="U116" s="196">
        <v>9.6824862495433449E-3</v>
      </c>
      <c r="V116" s="196">
        <v>3.5085321937329403E-3</v>
      </c>
      <c r="W116" s="196">
        <v>-0.10669673618523107</v>
      </c>
      <c r="X116" s="196">
        <v>-8.0597247320408488E-3</v>
      </c>
      <c r="Y116" s="196">
        <v>0.10691023271735775</v>
      </c>
      <c r="Z116" s="196">
        <v>7.786539210107924E-4</v>
      </c>
      <c r="AA116" s="196">
        <v>2.8036326231342281</v>
      </c>
      <c r="AB116" s="196">
        <v>3.3656631239007945E-2</v>
      </c>
      <c r="AC116" s="196">
        <v>0.20298682680843805</v>
      </c>
      <c r="AD116" s="181" t="str">
        <f t="shared" si="30"/>
        <v>QX0226.dat</v>
      </c>
      <c r="AE116" s="6">
        <f t="shared" si="17"/>
        <v>49.541284403669394</v>
      </c>
      <c r="AF116" s="6" t="str">
        <f t="shared" si="31"/>
        <v>QX0126.dat</v>
      </c>
      <c r="AG116" s="6" cm="1">
        <f t="array" ref="AG116">IF(AD116=AF116,0,
  _xlfn.SWITCH(TRUE,
    $C116&lt;$H$7,  ($C116-$H$6)/($H$7-$H$6),
    $C116&lt;$H$8,  ($C116-$H$7)/($H$8-$H$7),
    $C116&lt;$H$9,  ($C116-$H$8)/($H$9-$H$8),
    $C116&lt;$H$10, ($C116-$H$9)/($H$10-$H$9),
    $C116&lt;$H$11, ($C116-$H$10)/($H$11-$H$10),
    $C116&lt;$H$12, ($C116-$H$11)/($H$12-$H$11),
    ($C116-$H$12)/($H$13-$H$12)
  )*100
)</f>
        <v>50.458715596330606</v>
      </c>
      <c r="AH116" s="6">
        <f t="shared" si="32"/>
        <v>0.22791284403669726</v>
      </c>
      <c r="AI116" s="6">
        <f t="shared" si="33"/>
        <v>-0.3718577981651377</v>
      </c>
      <c r="AJ116" s="6">
        <f t="shared" si="34"/>
        <v>9.9122634067312472</v>
      </c>
      <c r="AK116" s="6">
        <f t="shared" si="35"/>
        <v>0.24302867709729437</v>
      </c>
      <c r="AL116" s="6">
        <f t="shared" si="36"/>
        <v>3.1299999999999963</v>
      </c>
      <c r="AM116" s="30">
        <f t="shared" si="37"/>
        <v>6</v>
      </c>
      <c r="AN116" s="198">
        <v>3.007167233433377</v>
      </c>
      <c r="AO116" s="196">
        <v>11.781253516441661</v>
      </c>
      <c r="AP116" s="196">
        <v>9.8712428896134821</v>
      </c>
      <c r="AQ116" s="196">
        <v>0.77488300732348769</v>
      </c>
      <c r="AR116" s="196">
        <v>0.51900592042148741</v>
      </c>
      <c r="AS116" s="196">
        <v>-9.2556800527943073E-2</v>
      </c>
      <c r="AT116" s="196">
        <f t="shared" si="38"/>
        <v>0</v>
      </c>
      <c r="AU116" s="196">
        <f t="shared" si="39"/>
        <v>0</v>
      </c>
      <c r="AV116" s="196">
        <f t="shared" si="40"/>
        <v>0</v>
      </c>
      <c r="AW116" s="196">
        <f t="shared" ref="AW116:AW133" si="45">AU116*0.75/2</f>
        <v>0</v>
      </c>
      <c r="AX116" s="198">
        <f t="shared" ref="AX116:AX133" si="46">AU116*0.4/2</f>
        <v>0</v>
      </c>
      <c r="AY116" s="164"/>
      <c r="AZ116" s="23"/>
      <c r="BA116" s="23"/>
      <c r="BB116" s="23"/>
      <c r="BC116" s="23"/>
      <c r="BD116" s="23"/>
      <c r="BE116" s="23"/>
      <c r="BF116" s="23"/>
      <c r="BG116" s="23"/>
      <c r="BH116" s="23"/>
      <c r="BI116" s="23"/>
      <c r="BJ116" s="23"/>
      <c r="BK116" s="23"/>
      <c r="BL116" s="23"/>
      <c r="BM116" s="23"/>
      <c r="BN116" s="23"/>
    </row>
    <row r="117" spans="1:66">
      <c r="A117" s="23">
        <f t="shared" si="41"/>
        <v>0.13042396465616582</v>
      </c>
      <c r="B117" s="100">
        <v>66</v>
      </c>
      <c r="C117" s="6">
        <f t="shared" si="42"/>
        <v>10.07500000000001</v>
      </c>
      <c r="D117" s="6">
        <f t="shared" si="28"/>
        <v>597.01834862385317</v>
      </c>
      <c r="E117" s="87">
        <v>0.15</v>
      </c>
      <c r="F117" s="87" t="str">
        <f t="shared" si="43"/>
        <v>4th</v>
      </c>
      <c r="G117" s="87" t="str" cm="1">
        <f t="array" ref="G117">_xlfn.SWITCH(TRUE,
  OR(C117=$F$46, C117=$G$46, C117=$H$46, C117=$I$46), "端リブ",
  C117&lt;$F$46, "0番",
  C117&lt;$G$46, "1番",
  C117&lt;$H$46, "2番",
  C117&lt;$I$46, "3番",
  C117&lt;$J$46, "4番",
  "ウィングレット"
)</f>
        <v>3番</v>
      </c>
      <c r="H117" s="229" t="s">
        <v>942</v>
      </c>
      <c r="I117" s="6">
        <f>'主翼(桁)'!F111*2</f>
        <v>62.865499999999905</v>
      </c>
      <c r="J117" s="6">
        <f>'主翼(桁)'!G111*2</f>
        <v>62.277499999999904</v>
      </c>
      <c r="K117" s="6">
        <f t="shared" si="29"/>
        <v>0.38</v>
      </c>
      <c r="L117" s="6">
        <f>'主翼(平面形結果)'!O274</f>
        <v>80.389647152032509</v>
      </c>
      <c r="M117" s="196">
        <f t="shared" si="44"/>
        <v>17.524147152032604</v>
      </c>
      <c r="N117" s="273">
        <v>4.2369398318661711</v>
      </c>
      <c r="O117" s="196">
        <v>304083.74689749762</v>
      </c>
      <c r="P117" s="196">
        <v>4.3965817168335439</v>
      </c>
      <c r="Q117" s="196">
        <v>6.0256402091605175E-2</v>
      </c>
      <c r="R117" s="196">
        <v>-0.28106489039881682</v>
      </c>
      <c r="S117" s="196">
        <v>-1.9185928962653667E-2</v>
      </c>
      <c r="T117" s="196">
        <v>0.96652057859535356</v>
      </c>
      <c r="U117" s="196">
        <v>9.6322550243941596E-3</v>
      </c>
      <c r="V117" s="196">
        <v>3.603770042919311E-3</v>
      </c>
      <c r="W117" s="196">
        <v>-0.10373303720212129</v>
      </c>
      <c r="X117" s="196">
        <v>-7.0809793425859607E-3</v>
      </c>
      <c r="Y117" s="196">
        <v>0.10734894169726338</v>
      </c>
      <c r="Z117" s="196">
        <v>7.7529180044047432E-4</v>
      </c>
      <c r="AA117" s="196">
        <v>2.7345771163778987</v>
      </c>
      <c r="AB117" s="196">
        <v>3.5235029380392136E-2</v>
      </c>
      <c r="AC117" s="196">
        <v>0.21250623341323205</v>
      </c>
      <c r="AD117" s="181" t="str">
        <f t="shared" si="30"/>
        <v>QX0226.dat</v>
      </c>
      <c r="AE117" s="6">
        <f t="shared" ref="AE117:AE133" si="47">100-AG117</f>
        <v>44.03669724770608</v>
      </c>
      <c r="AF117" s="6" t="str">
        <f t="shared" si="31"/>
        <v>QX0126.dat</v>
      </c>
      <c r="AG117" s="6" cm="1">
        <f t="array" ref="AG117">IF(AD117=AF117,0,
  _xlfn.SWITCH(TRUE,
    $C117&lt;$H$7,  ($C117-$H$6)/($H$7-$H$6),
    $C117&lt;$H$8,  ($C117-$H$7)/($H$8-$H$7),
    $C117&lt;$H$9,  ($C117-$H$8)/($H$9-$H$8),
    $C117&lt;$H$10, ($C117-$H$9)/($H$10-$H$9),
    $C117&lt;$H$11, ($C117-$H$10)/($H$11-$H$10),
    $C117&lt;$H$12, ($C117-$H$11)/($H$12-$H$11),
    ($C117-$H$12)/($H$13-$H$12)
  )*100
)</f>
        <v>55.96330275229392</v>
      </c>
      <c r="AH117" s="6">
        <f t="shared" si="32"/>
        <v>0.22686697247706419</v>
      </c>
      <c r="AI117" s="6">
        <f t="shared" si="33"/>
        <v>-0.37015137614678895</v>
      </c>
      <c r="AJ117" s="6">
        <f t="shared" si="34"/>
        <v>10.061441691036489</v>
      </c>
      <c r="AK117" s="6">
        <f t="shared" si="35"/>
        <v>0.25870794658744239</v>
      </c>
      <c r="AL117" s="6">
        <f t="shared" si="36"/>
        <v>3.0699999999999958</v>
      </c>
      <c r="AM117" s="30">
        <f t="shared" si="37"/>
        <v>6</v>
      </c>
      <c r="AN117" s="198">
        <v>2.9466253902712629</v>
      </c>
      <c r="AO117" s="196">
        <v>11.84739998298488</v>
      </c>
      <c r="AP117" s="196">
        <v>10.018083026362211</v>
      </c>
      <c r="AQ117" s="196">
        <v>0.80550937242962817</v>
      </c>
      <c r="AR117" s="196">
        <v>0.53405136794011532</v>
      </c>
      <c r="AS117" s="196">
        <v>-9.3124915263572944E-2</v>
      </c>
      <c r="AT117" s="196">
        <f t="shared" si="38"/>
        <v>0</v>
      </c>
      <c r="AU117" s="196">
        <f t="shared" si="39"/>
        <v>0</v>
      </c>
      <c r="AV117" s="196">
        <f t="shared" si="40"/>
        <v>0</v>
      </c>
      <c r="AW117" s="196">
        <f t="shared" si="45"/>
        <v>0</v>
      </c>
      <c r="AX117" s="198">
        <f t="shared" si="46"/>
        <v>0</v>
      </c>
      <c r="AY117" s="164"/>
      <c r="AZ117" s="23"/>
      <c r="BA117" s="23"/>
      <c r="BB117" s="23"/>
      <c r="BC117" s="23"/>
      <c r="BD117" s="23"/>
      <c r="BE117" s="23"/>
      <c r="BF117" s="23"/>
      <c r="BG117" s="23"/>
      <c r="BH117" s="23"/>
      <c r="BI117" s="23"/>
      <c r="BJ117" s="23"/>
      <c r="BK117" s="23"/>
      <c r="BL117" s="23"/>
      <c r="BM117" s="23"/>
      <c r="BN117" s="23"/>
    </row>
    <row r="118" spans="1:66">
      <c r="A118" s="23">
        <f t="shared" si="41"/>
        <v>0.12888250868390566</v>
      </c>
      <c r="B118" s="100">
        <v>67</v>
      </c>
      <c r="C118" s="6">
        <f t="shared" si="42"/>
        <v>10.22500000000001</v>
      </c>
      <c r="D118" s="6">
        <f t="shared" si="28"/>
        <v>594.26605504587155</v>
      </c>
      <c r="E118" s="87">
        <v>0.15</v>
      </c>
      <c r="F118" s="87" t="str">
        <f t="shared" si="43"/>
        <v>4th</v>
      </c>
      <c r="G118" s="87" t="str" cm="1">
        <f t="array" ref="G118">_xlfn.SWITCH(TRUE,
  OR(C118=$F$46, C118=$G$46, C118=$H$46, C118=$I$46), "端リブ",
  C118&lt;$F$46, "0番",
  C118&lt;$G$46, "1番",
  C118&lt;$H$46, "2番",
  C118&lt;$I$46, "3番",
  C118&lt;$J$46, "4番",
  "ウィングレット"
)</f>
        <v>3番</v>
      </c>
      <c r="H118" s="229" t="s">
        <v>756</v>
      </c>
      <c r="I118" s="6">
        <f>'主翼(桁)'!F112*2</f>
        <v>61.590499999999899</v>
      </c>
      <c r="J118" s="6">
        <f>'主翼(桁)'!G112*2</f>
        <v>61.002499999999898</v>
      </c>
      <c r="K118" s="6">
        <f t="shared" si="29"/>
        <v>0.38</v>
      </c>
      <c r="L118" s="6">
        <f>'主翼(平面形結果)'!O275</f>
        <v>79.712125522168037</v>
      </c>
      <c r="M118" s="196">
        <f t="shared" si="44"/>
        <v>18.121625522168138</v>
      </c>
      <c r="N118" s="273">
        <v>4.1651978096670126</v>
      </c>
      <c r="O118" s="196">
        <v>302678.6621987028</v>
      </c>
      <c r="P118" s="196">
        <v>4.2844375038595324</v>
      </c>
      <c r="Q118" s="196">
        <v>6.0250215458167049E-2</v>
      </c>
      <c r="R118" s="196">
        <v>-0.2704470905198943</v>
      </c>
      <c r="S118" s="196">
        <v>-1.6427114660332615E-2</v>
      </c>
      <c r="T118" s="196">
        <v>0.94645933361525203</v>
      </c>
      <c r="U118" s="196">
        <v>9.5797206988764219E-3</v>
      </c>
      <c r="V118" s="196">
        <v>3.7198924788270763E-3</v>
      </c>
      <c r="W118" s="196">
        <v>-0.10076655278998913</v>
      </c>
      <c r="X118" s="196">
        <v>-6.1206194284639387E-3</v>
      </c>
      <c r="Y118" s="196">
        <v>0.10776957013897687</v>
      </c>
      <c r="Z118" s="196">
        <v>7.7120650408631271E-4</v>
      </c>
      <c r="AA118" s="196">
        <v>2.6654443905110727</v>
      </c>
      <c r="AB118" s="196">
        <v>3.7093263476493811E-2</v>
      </c>
      <c r="AC118" s="196">
        <v>0.22371333108232425</v>
      </c>
      <c r="AD118" s="181" t="str">
        <f t="shared" si="30"/>
        <v>QX0226.dat</v>
      </c>
      <c r="AE118" s="6">
        <f t="shared" si="47"/>
        <v>38.532110091742751</v>
      </c>
      <c r="AF118" s="6" t="str">
        <f t="shared" si="31"/>
        <v>QX0126.dat</v>
      </c>
      <c r="AG118" s="6" cm="1">
        <f t="array" ref="AG118">IF(AD118=AF118,0,
  _xlfn.SWITCH(TRUE,
    $C118&lt;$H$7,  ($C118-$H$6)/($H$7-$H$6),
    $C118&lt;$H$8,  ($C118-$H$7)/($H$8-$H$7),
    $C118&lt;$H$9,  ($C118-$H$8)/($H$9-$H$8),
    $C118&lt;$H$10, ($C118-$H$9)/($H$10-$H$9),
    $C118&lt;$H$11, ($C118-$H$10)/($H$11-$H$10),
    $C118&lt;$H$12, ($C118-$H$11)/($H$12-$H$11),
    ($C118-$H$12)/($H$13-$H$12)
  )*100
)</f>
        <v>61.467889908257249</v>
      </c>
      <c r="AH118" s="6">
        <f t="shared" si="32"/>
        <v>0.22582110091743118</v>
      </c>
      <c r="AI118" s="6">
        <f t="shared" si="33"/>
        <v>-0.36844495412844042</v>
      </c>
      <c r="AJ118" s="6">
        <f t="shared" si="34"/>
        <v>10.21061997534173</v>
      </c>
      <c r="AK118" s="6">
        <f t="shared" si="35"/>
        <v>0.27438721607759042</v>
      </c>
      <c r="AL118" s="6">
        <f t="shared" si="36"/>
        <v>3.0099999999999962</v>
      </c>
      <c r="AM118" s="30">
        <f t="shared" si="37"/>
        <v>6</v>
      </c>
      <c r="AN118" s="198">
        <v>2.8861342696737018</v>
      </c>
      <c r="AO118" s="196">
        <v>11.910612802916987</v>
      </c>
      <c r="AP118" s="196">
        <v>10.16488770793296</v>
      </c>
      <c r="AQ118" s="196">
        <v>0.83630524015422458</v>
      </c>
      <c r="AR118" s="196">
        <v>0.54927372326134216</v>
      </c>
      <c r="AS118" s="196">
        <v>-9.3640846100753267E-2</v>
      </c>
      <c r="AT118" s="196">
        <f t="shared" si="38"/>
        <v>0</v>
      </c>
      <c r="AU118" s="196">
        <f t="shared" si="39"/>
        <v>0</v>
      </c>
      <c r="AV118" s="196">
        <f t="shared" si="40"/>
        <v>0</v>
      </c>
      <c r="AW118" s="196">
        <f t="shared" si="45"/>
        <v>0</v>
      </c>
      <c r="AX118" s="198">
        <f t="shared" si="46"/>
        <v>0</v>
      </c>
      <c r="AY118" s="164"/>
      <c r="AZ118" s="23"/>
      <c r="BA118" s="23"/>
      <c r="BB118" s="23"/>
      <c r="BC118" s="23"/>
      <c r="BD118" s="23"/>
      <c r="BE118" s="23"/>
      <c r="BF118" s="23"/>
      <c r="BG118" s="23"/>
      <c r="BH118" s="23"/>
      <c r="BI118" s="23"/>
      <c r="BJ118" s="23"/>
      <c r="BK118" s="23"/>
      <c r="BL118" s="23"/>
      <c r="BM118" s="23"/>
      <c r="BN118" s="23"/>
    </row>
    <row r="119" spans="1:66">
      <c r="A119" s="23">
        <f t="shared" si="41"/>
        <v>0.12732670802636664</v>
      </c>
      <c r="B119" s="100">
        <v>68</v>
      </c>
      <c r="C119" s="6">
        <f t="shared" si="42"/>
        <v>10.375000000000011</v>
      </c>
      <c r="D119" s="6">
        <f t="shared" si="28"/>
        <v>591.51376146788994</v>
      </c>
      <c r="E119" s="87">
        <v>0.15</v>
      </c>
      <c r="F119" s="87" t="str">
        <f t="shared" si="43"/>
        <v>4th</v>
      </c>
      <c r="G119" s="87" t="str" cm="1">
        <f t="array" ref="G119">_xlfn.SWITCH(TRUE,
  OR(C119=$F$46, C119=$G$46, C119=$H$46, C119=$I$46), "端リブ",
  C119&lt;$F$46, "0番",
  C119&lt;$G$46, "1番",
  C119&lt;$H$46, "2番",
  C119&lt;$I$46, "3番",
  C119&lt;$J$46, "4番",
  "ウィングレット"
)</f>
        <v>3番</v>
      </c>
      <c r="H119" s="229" t="s">
        <v>942</v>
      </c>
      <c r="I119" s="6">
        <f>'主翼(桁)'!F113*2</f>
        <v>60.315499999999908</v>
      </c>
      <c r="J119" s="6">
        <f>'主翼(桁)'!G113*2</f>
        <v>59.727499999999907</v>
      </c>
      <c r="K119" s="6">
        <f t="shared" si="29"/>
        <v>0.38</v>
      </c>
      <c r="L119" s="6">
        <f>'主翼(平面形結果)'!O276</f>
        <v>79.037446841956694</v>
      </c>
      <c r="M119" s="196">
        <f t="shared" si="44"/>
        <v>18.721946841956786</v>
      </c>
      <c r="N119" s="273">
        <v>4.0913560772694311</v>
      </c>
      <c r="O119" s="196">
        <v>301273.57749990816</v>
      </c>
      <c r="P119" s="196">
        <v>4.1720516750165331</v>
      </c>
      <c r="Q119" s="196">
        <v>6.0348922924304937E-2</v>
      </c>
      <c r="R119" s="196">
        <v>-0.2599912452569163</v>
      </c>
      <c r="S119" s="196">
        <v>-1.3782782875780055E-2</v>
      </c>
      <c r="T119" s="196">
        <v>0.92613655352691682</v>
      </c>
      <c r="U119" s="196">
        <v>9.5245695519116068E-3</v>
      </c>
      <c r="V119" s="196">
        <v>3.8623722073643199E-3</v>
      </c>
      <c r="W119" s="196">
        <v>-9.7798180249656669E-2</v>
      </c>
      <c r="X119" s="196">
        <v>-5.1845248969650121E-3</v>
      </c>
      <c r="Y119" s="196">
        <v>0.10817440742289948</v>
      </c>
      <c r="Z119" s="196">
        <v>7.6612065008854866E-4</v>
      </c>
      <c r="AA119" s="196">
        <v>2.5961030786852293</v>
      </c>
      <c r="AB119" s="196">
        <v>3.9307477593831915E-2</v>
      </c>
      <c r="AC119" s="196">
        <v>0.23706733866294535</v>
      </c>
      <c r="AD119" s="181" t="str">
        <f t="shared" si="30"/>
        <v>QX0226.dat</v>
      </c>
      <c r="AE119" s="6">
        <f t="shared" si="47"/>
        <v>33.027522935779444</v>
      </c>
      <c r="AF119" s="6" t="str">
        <f t="shared" si="31"/>
        <v>QX0126.dat</v>
      </c>
      <c r="AG119" s="6" cm="1">
        <f t="array" ref="AG119">IF(AD119=AF119,0,
  _xlfn.SWITCH(TRUE,
    $C119&lt;$H$7,  ($C119-$H$6)/($H$7-$H$6),
    $C119&lt;$H$8,  ($C119-$H$7)/($H$8-$H$7),
    $C119&lt;$H$9,  ($C119-$H$8)/($H$9-$H$8),
    $C119&lt;$H$10, ($C119-$H$9)/($H$10-$H$9),
    $C119&lt;$H$11, ($C119-$H$10)/($H$11-$H$10),
    $C119&lt;$H$12, ($C119-$H$11)/($H$12-$H$11),
    ($C119-$H$12)/($H$13-$H$12)
  )*100
)</f>
        <v>66.972477064220556</v>
      </c>
      <c r="AH119" s="6">
        <f t="shared" si="32"/>
        <v>0.22477522935779817</v>
      </c>
      <c r="AI119" s="6">
        <f t="shared" si="33"/>
        <v>-0.36673853211009177</v>
      </c>
      <c r="AJ119" s="6">
        <f t="shared" si="34"/>
        <v>10.359798259646972</v>
      </c>
      <c r="AK119" s="6">
        <f t="shared" si="35"/>
        <v>0.29006648556773845</v>
      </c>
      <c r="AL119" s="6">
        <f t="shared" si="36"/>
        <v>2.9499999999999957</v>
      </c>
      <c r="AM119" s="30">
        <f t="shared" si="37"/>
        <v>6</v>
      </c>
      <c r="AN119" s="198">
        <v>2.8256906330979645</v>
      </c>
      <c r="AO119" s="196">
        <v>11.970776331837163</v>
      </c>
      <c r="AP119" s="196">
        <v>10.311658323951075</v>
      </c>
      <c r="AQ119" s="196">
        <v>0.86726305457422415</v>
      </c>
      <c r="AR119" s="196">
        <v>0.56466547936583944</v>
      </c>
      <c r="AS119" s="196">
        <v>-9.4107541685724175E-2</v>
      </c>
      <c r="AT119" s="196">
        <f t="shared" si="38"/>
        <v>0</v>
      </c>
      <c r="AU119" s="196">
        <f t="shared" si="39"/>
        <v>0</v>
      </c>
      <c r="AV119" s="196">
        <f t="shared" si="40"/>
        <v>0</v>
      </c>
      <c r="AW119" s="196">
        <f t="shared" si="45"/>
        <v>0</v>
      </c>
      <c r="AX119" s="198">
        <f t="shared" si="46"/>
        <v>0</v>
      </c>
      <c r="AY119" s="164"/>
      <c r="AZ119" s="23"/>
      <c r="BA119" s="23"/>
      <c r="BB119" s="23"/>
      <c r="BC119" s="23"/>
      <c r="BD119" s="23"/>
      <c r="BE119" s="23"/>
      <c r="BF119" s="23"/>
      <c r="BG119" s="23"/>
      <c r="BH119" s="23"/>
      <c r="BI119" s="23"/>
      <c r="BJ119" s="23"/>
      <c r="BK119" s="23"/>
      <c r="BL119" s="23"/>
      <c r="BM119" s="23"/>
      <c r="BN119" s="23"/>
    </row>
    <row r="120" spans="1:66">
      <c r="A120" s="23">
        <f t="shared" si="41"/>
        <v>0.12575636151149186</v>
      </c>
      <c r="B120" s="100">
        <v>69</v>
      </c>
      <c r="C120" s="6">
        <f t="shared" si="42"/>
        <v>10.525000000000011</v>
      </c>
      <c r="D120" s="6">
        <f t="shared" si="28"/>
        <v>588.7614678899082</v>
      </c>
      <c r="E120" s="87">
        <v>0.15</v>
      </c>
      <c r="F120" s="87" t="str">
        <f t="shared" si="43"/>
        <v>4th</v>
      </c>
      <c r="G120" s="87" t="str" cm="1">
        <f t="array" ref="G120">_xlfn.SWITCH(TRUE,
  OR(C120=$F$46, C120=$G$46, C120=$H$46, C120=$I$46), "端リブ",
  C120&lt;$F$46, "0番",
  C120&lt;$G$46, "1番",
  C120&lt;$H$46, "2番",
  C120&lt;$I$46, "3番",
  C120&lt;$J$46, "4番",
  "ウィングレット"
)</f>
        <v>3番</v>
      </c>
      <c r="H120" s="229" t="s">
        <v>756</v>
      </c>
      <c r="I120" s="6">
        <f>'主翼(桁)'!F114*2</f>
        <v>59.040499999999902</v>
      </c>
      <c r="J120" s="6">
        <f>'主翼(桁)'!G114*2</f>
        <v>58.452499999999901</v>
      </c>
      <c r="K120" s="6">
        <f t="shared" si="29"/>
        <v>0.38</v>
      </c>
      <c r="L120" s="6">
        <f>'主翼(平面形結果)'!O277</f>
        <v>78.365611111398522</v>
      </c>
      <c r="M120" s="196">
        <f t="shared" si="44"/>
        <v>19.32511111139862</v>
      </c>
      <c r="N120" s="273">
        <v>4.0148138258450334</v>
      </c>
      <c r="O120" s="196">
        <v>299868.4928011134</v>
      </c>
      <c r="P120" s="196">
        <v>4.0591477705957608</v>
      </c>
      <c r="Q120" s="196">
        <v>6.0579922982552561E-2</v>
      </c>
      <c r="R120" s="196">
        <v>-0.24969885859332927</v>
      </c>
      <c r="S120" s="196">
        <v>-1.1270476930582826E-2</v>
      </c>
      <c r="T120" s="196">
        <v>0.90548685094592407</v>
      </c>
      <c r="U120" s="196">
        <v>9.4664094850951779E-3</v>
      </c>
      <c r="V120" s="196">
        <v>4.0380559262209034E-3</v>
      </c>
      <c r="W120" s="196">
        <v>-9.4828909031593037E-2</v>
      </c>
      <c r="X120" s="196">
        <v>-4.2802239370006434E-3</v>
      </c>
      <c r="Y120" s="196">
        <v>0.10856598728982586</v>
      </c>
      <c r="Z120" s="196">
        <v>7.5969599915207977E-4</v>
      </c>
      <c r="AA120" s="196">
        <v>2.5263810023037694</v>
      </c>
      <c r="AB120" s="196">
        <v>4.197648005162502E-2</v>
      </c>
      <c r="AC120" s="196">
        <v>0.25316415724954988</v>
      </c>
      <c r="AD120" s="181" t="str">
        <f t="shared" si="30"/>
        <v>QX0226.dat</v>
      </c>
      <c r="AE120" s="6">
        <f t="shared" si="47"/>
        <v>27.522935779816123</v>
      </c>
      <c r="AF120" s="6" t="str">
        <f t="shared" si="31"/>
        <v>QX0126.dat</v>
      </c>
      <c r="AG120" s="6" cm="1">
        <f t="array" ref="AG120">IF(AD120=AF120,0,
  _xlfn.SWITCH(TRUE,
    $C120&lt;$H$7,  ($C120-$H$6)/($H$7-$H$6),
    $C120&lt;$H$8,  ($C120-$H$7)/($H$8-$H$7),
    $C120&lt;$H$9,  ($C120-$H$8)/($H$9-$H$8),
    $C120&lt;$H$10, ($C120-$H$9)/($H$10-$H$9),
    $C120&lt;$H$11, ($C120-$H$10)/($H$11-$H$10),
    $C120&lt;$H$12, ($C120-$H$11)/($H$12-$H$11),
    ($C120-$H$12)/($H$13-$H$12)
  )*100
)</f>
        <v>72.477064220183877</v>
      </c>
      <c r="AH120" s="6">
        <f t="shared" si="32"/>
        <v>0.22372935779816513</v>
      </c>
      <c r="AI120" s="6">
        <f t="shared" si="33"/>
        <v>-0.36503211009174308</v>
      </c>
      <c r="AJ120" s="6">
        <f t="shared" si="34"/>
        <v>10.508976543952214</v>
      </c>
      <c r="AK120" s="6">
        <f t="shared" si="35"/>
        <v>0.30574575505788648</v>
      </c>
      <c r="AL120" s="6">
        <f t="shared" si="36"/>
        <v>2.8899999999999952</v>
      </c>
      <c r="AM120" s="30">
        <f t="shared" si="37"/>
        <v>6</v>
      </c>
      <c r="AN120" s="198">
        <v>2.7652906561987396</v>
      </c>
      <c r="AO120" s="196">
        <v>12.027715616882093</v>
      </c>
      <c r="AP120" s="196">
        <v>10.458396351755198</v>
      </c>
      <c r="AQ120" s="196">
        <v>0.89837496862907928</v>
      </c>
      <c r="AR120" s="196">
        <v>0.58021878413481431</v>
      </c>
      <c r="AS120" s="196">
        <v>-9.4528527201861445E-2</v>
      </c>
      <c r="AT120" s="196">
        <f t="shared" si="38"/>
        <v>0</v>
      </c>
      <c r="AU120" s="196">
        <f t="shared" si="39"/>
        <v>0</v>
      </c>
      <c r="AV120" s="196">
        <f t="shared" si="40"/>
        <v>0</v>
      </c>
      <c r="AW120" s="196">
        <f t="shared" si="45"/>
        <v>0</v>
      </c>
      <c r="AX120" s="198">
        <f t="shared" si="46"/>
        <v>0</v>
      </c>
      <c r="AY120" s="164"/>
      <c r="AZ120" s="23"/>
      <c r="BA120" s="23"/>
      <c r="BB120" s="23"/>
      <c r="BC120" s="23"/>
      <c r="BD120" s="23"/>
      <c r="BE120" s="23"/>
      <c r="BF120" s="23"/>
      <c r="BG120" s="23"/>
      <c r="BH120" s="23"/>
      <c r="BI120" s="23"/>
      <c r="BJ120" s="23"/>
      <c r="BK120" s="23"/>
      <c r="BL120" s="23"/>
      <c r="BM120" s="23"/>
      <c r="BN120" s="23"/>
    </row>
    <row r="121" spans="1:66">
      <c r="A121" s="23">
        <f t="shared" si="41"/>
        <v>0.12417126418786674</v>
      </c>
      <c r="B121" s="100">
        <v>70</v>
      </c>
      <c r="C121" s="6">
        <f t="shared" si="42"/>
        <v>10.675000000000011</v>
      </c>
      <c r="D121" s="6">
        <f t="shared" si="28"/>
        <v>586.00917431192659</v>
      </c>
      <c r="E121" s="87">
        <v>0.15</v>
      </c>
      <c r="F121" s="87" t="str">
        <f t="shared" si="43"/>
        <v>4th</v>
      </c>
      <c r="G121" s="87" t="str" cm="1">
        <f t="array" ref="G121">_xlfn.SWITCH(TRUE,
  OR(C121=$F$46, C121=$G$46, C121=$H$46, C121=$I$46), "端リブ",
  C121&lt;$F$46, "0番",
  C121&lt;$G$46, "1番",
  C121&lt;$H$46, "2番",
  C121&lt;$I$46, "3番",
  C121&lt;$J$46, "4番",
  "ウィングレット"
)</f>
        <v>3番</v>
      </c>
      <c r="H121" s="229" t="s">
        <v>942</v>
      </c>
      <c r="I121" s="6">
        <f>'主翼(桁)'!F115*2</f>
        <v>57.765499999999896</v>
      </c>
      <c r="J121" s="6">
        <f>'主翼(桁)'!G115*2</f>
        <v>57.177499999999895</v>
      </c>
      <c r="K121" s="6">
        <f t="shared" si="29"/>
        <v>0.38</v>
      </c>
      <c r="L121" s="6">
        <f>'主翼(平面形結果)'!O278</f>
        <v>77.696618330493507</v>
      </c>
      <c r="M121" s="196">
        <f t="shared" si="44"/>
        <v>19.931118330493611</v>
      </c>
      <c r="N121" s="273">
        <v>3.9347490774751832</v>
      </c>
      <c r="O121" s="196">
        <v>298463.40810231859</v>
      </c>
      <c r="P121" s="196">
        <v>3.9453448772338695</v>
      </c>
      <c r="Q121" s="196">
        <v>6.0979874182321939E-2</v>
      </c>
      <c r="R121" s="196">
        <v>-0.23957182519199188</v>
      </c>
      <c r="S121" s="196">
        <v>-8.9139331720576673E-3</v>
      </c>
      <c r="T121" s="196">
        <v>0.88441993430356591</v>
      </c>
      <c r="U121" s="196">
        <v>9.4047198691464585E-3</v>
      </c>
      <c r="V121" s="196">
        <v>4.2561149069054874E-3</v>
      </c>
      <c r="W121" s="196">
        <v>-9.1859895207476894E-2</v>
      </c>
      <c r="X121" s="196">
        <v>-3.4179017771203274E-3</v>
      </c>
      <c r="Y121" s="196">
        <v>0.10894730825638402</v>
      </c>
      <c r="Z121" s="196">
        <v>7.5149579873604489E-4</v>
      </c>
      <c r="AA121" s="196">
        <v>2.4560402430192667</v>
      </c>
      <c r="AB121" s="196">
        <v>4.5235652220042055E-2</v>
      </c>
      <c r="AC121" s="196">
        <v>0.27282024923125653</v>
      </c>
      <c r="AD121" s="181" t="str">
        <f t="shared" si="30"/>
        <v>QX0226.dat</v>
      </c>
      <c r="AE121" s="6">
        <f t="shared" si="47"/>
        <v>22.018348623852816</v>
      </c>
      <c r="AF121" s="6" t="str">
        <f t="shared" si="31"/>
        <v>QX0126.dat</v>
      </c>
      <c r="AG121" s="6" cm="1">
        <f t="array" ref="AG121">IF(AD121=AF121,0,
  _xlfn.SWITCH(TRUE,
    $C121&lt;$H$7,  ($C121-$H$6)/($H$7-$H$6),
    $C121&lt;$H$8,  ($C121-$H$7)/($H$8-$H$7),
    $C121&lt;$H$9,  ($C121-$H$8)/($H$9-$H$8),
    $C121&lt;$H$10, ($C121-$H$9)/($H$10-$H$9),
    $C121&lt;$H$11, ($C121-$H$10)/($H$11-$H$10),
    $C121&lt;$H$12, ($C121-$H$11)/($H$12-$H$11),
    ($C121-$H$12)/($H$13-$H$12)
  )*100
)</f>
        <v>77.981651376147184</v>
      </c>
      <c r="AH121" s="6">
        <f t="shared" si="32"/>
        <v>0.22268348623853212</v>
      </c>
      <c r="AI121" s="6">
        <f t="shared" si="33"/>
        <v>-0.36332568807339444</v>
      </c>
      <c r="AJ121" s="6">
        <f t="shared" si="34"/>
        <v>10.658154828257455</v>
      </c>
      <c r="AK121" s="6">
        <f t="shared" si="35"/>
        <v>0.32142502454803451</v>
      </c>
      <c r="AL121" s="6">
        <f t="shared" si="36"/>
        <v>2.8299999999999956</v>
      </c>
      <c r="AM121" s="30">
        <f t="shared" si="37"/>
        <v>6</v>
      </c>
      <c r="AN121" s="198">
        <v>2.7049299280718402</v>
      </c>
      <c r="AO121" s="196">
        <v>12.081167188411472</v>
      </c>
      <c r="AP121" s="196">
        <v>10.605103388769908</v>
      </c>
      <c r="AQ121" s="196">
        <v>0.92963269232041934</v>
      </c>
      <c r="AR121" s="196">
        <v>0.59592552511408292</v>
      </c>
      <c r="AS121" s="196">
        <v>-9.4907922214024359E-2</v>
      </c>
      <c r="AT121" s="196">
        <f t="shared" si="38"/>
        <v>0</v>
      </c>
      <c r="AU121" s="196">
        <f t="shared" si="39"/>
        <v>0</v>
      </c>
      <c r="AV121" s="196">
        <f t="shared" si="40"/>
        <v>0</v>
      </c>
      <c r="AW121" s="196">
        <f t="shared" si="45"/>
        <v>0</v>
      </c>
      <c r="AX121" s="198">
        <f t="shared" si="46"/>
        <v>0</v>
      </c>
      <c r="AY121" s="164"/>
      <c r="AZ121" s="23"/>
      <c r="BA121" s="23"/>
      <c r="BB121" s="23"/>
      <c r="BC121" s="23"/>
      <c r="BD121" s="23"/>
      <c r="BE121" s="23"/>
      <c r="BF121" s="23"/>
      <c r="BG121" s="23"/>
      <c r="BH121" s="23"/>
      <c r="BI121" s="23"/>
      <c r="BJ121" s="23"/>
      <c r="BK121" s="23"/>
      <c r="BL121" s="23"/>
      <c r="BM121" s="23"/>
      <c r="BN121" s="23"/>
    </row>
    <row r="122" spans="1:66">
      <c r="A122" s="23">
        <f t="shared" si="41"/>
        <v>0.12257120723554839</v>
      </c>
      <c r="B122" s="100">
        <v>71</v>
      </c>
      <c r="C122" s="6">
        <f t="shared" si="42"/>
        <v>10.825000000000012</v>
      </c>
      <c r="D122" s="6">
        <f t="shared" si="28"/>
        <v>583.25688073394485</v>
      </c>
      <c r="E122" s="87">
        <v>0.15</v>
      </c>
      <c r="F122" s="87" t="str">
        <f t="shared" si="43"/>
        <v>4th</v>
      </c>
      <c r="G122" s="87" t="str" cm="1">
        <f t="array" ref="G122">_xlfn.SWITCH(TRUE,
  OR(C122=$F$46, C122=$G$46, C122=$H$46, C122=$I$46), "端リブ",
  C122&lt;$F$46, "0番",
  C122&lt;$G$46, "1番",
  C122&lt;$H$46, "2番",
  C122&lt;$I$46, "3番",
  C122&lt;$J$46, "4番",
  "ウィングレット"
)</f>
        <v>3番</v>
      </c>
      <c r="H122" s="229" t="s">
        <v>756</v>
      </c>
      <c r="I122" s="6">
        <f>'主翼(桁)'!F116*2</f>
        <v>56.490499999999891</v>
      </c>
      <c r="J122" s="6">
        <f>'主翼(桁)'!G116*2</f>
        <v>55.90249999999989</v>
      </c>
      <c r="K122" s="6">
        <f t="shared" si="29"/>
        <v>0.38</v>
      </c>
      <c r="L122" s="6">
        <f>'主翼(平面形結果)'!O279</f>
        <v>77.030468499241636</v>
      </c>
      <c r="M122" s="196">
        <f t="shared" si="44"/>
        <v>20.539968499241745</v>
      </c>
      <c r="N122" s="273">
        <v>3.8499642254177093</v>
      </c>
      <c r="O122" s="196">
        <v>297058.32340352389</v>
      </c>
      <c r="P122" s="196">
        <v>3.8300814730962318</v>
      </c>
      <c r="Q122" s="196">
        <v>6.1601753539941115E-2</v>
      </c>
      <c r="R122" s="196">
        <v>-0.22961260643383041</v>
      </c>
      <c r="S122" s="196">
        <v>-6.7475445704097354E-3</v>
      </c>
      <c r="T122" s="196">
        <v>0.86280336734771557</v>
      </c>
      <c r="U122" s="196">
        <v>9.3387605384484089E-3</v>
      </c>
      <c r="V122" s="196">
        <v>4.5297865147433409E-3</v>
      </c>
      <c r="W122" s="196">
        <v>-8.8892591938885185E-2</v>
      </c>
      <c r="X122" s="196">
        <v>-2.6122552041136504E-3</v>
      </c>
      <c r="Y122" s="196">
        <v>0.10932222267987896</v>
      </c>
      <c r="Z122" s="196">
        <v>7.4091620925399856E-4</v>
      </c>
      <c r="AA122" s="196">
        <v>2.3847311190517173</v>
      </c>
      <c r="AB122" s="196">
        <v>4.9282574315116574E-2</v>
      </c>
      <c r="AC122" s="196">
        <v>0.29722717707952967</v>
      </c>
      <c r="AD122" s="181" t="str">
        <f t="shared" si="30"/>
        <v>QX0226.dat</v>
      </c>
      <c r="AE122" s="6">
        <f t="shared" si="47"/>
        <v>16.513761467889495</v>
      </c>
      <c r="AF122" s="6" t="str">
        <f t="shared" si="31"/>
        <v>QX0126.dat</v>
      </c>
      <c r="AG122" s="6" cm="1">
        <f t="array" ref="AG122">IF(AD122=AF122,0,
  _xlfn.SWITCH(TRUE,
    $C122&lt;$H$7,  ($C122-$H$6)/($H$7-$H$6),
    $C122&lt;$H$8,  ($C122-$H$7)/($H$8-$H$7),
    $C122&lt;$H$9,  ($C122-$H$8)/($H$9-$H$8),
    $C122&lt;$H$10, ($C122-$H$9)/($H$10-$H$9),
    $C122&lt;$H$11, ($C122-$H$10)/($H$11-$H$10),
    $C122&lt;$H$12, ($C122-$H$11)/($H$12-$H$11),
    ($C122-$H$12)/($H$13-$H$12)
  )*100
)</f>
        <v>83.486238532110505</v>
      </c>
      <c r="AH122" s="6">
        <f t="shared" si="32"/>
        <v>0.22163761467889903</v>
      </c>
      <c r="AI122" s="6">
        <f t="shared" si="33"/>
        <v>-0.36161926605504585</v>
      </c>
      <c r="AJ122" s="6">
        <f t="shared" si="34"/>
        <v>10.807333112562697</v>
      </c>
      <c r="AK122" s="6">
        <f t="shared" si="35"/>
        <v>0.33710429403818254</v>
      </c>
      <c r="AL122" s="6">
        <f t="shared" si="36"/>
        <v>2.7699999999999951</v>
      </c>
      <c r="AM122" s="30">
        <f t="shared" si="37"/>
        <v>6</v>
      </c>
      <c r="AN122" s="198">
        <v>2.6446035011018987</v>
      </c>
      <c r="AO122" s="196">
        <v>12.130927037816567</v>
      </c>
      <c r="AP122" s="196">
        <v>10.751781201433024</v>
      </c>
      <c r="AQ122" s="196">
        <v>0.96102726625229029</v>
      </c>
      <c r="AR122" s="196">
        <v>0.61177693424228141</v>
      </c>
      <c r="AS122" s="196">
        <v>-9.5250424282162516E-2</v>
      </c>
      <c r="AT122" s="196">
        <f t="shared" si="38"/>
        <v>0</v>
      </c>
      <c r="AU122" s="196">
        <f t="shared" si="39"/>
        <v>0</v>
      </c>
      <c r="AV122" s="196">
        <f t="shared" si="40"/>
        <v>0</v>
      </c>
      <c r="AW122" s="196">
        <f t="shared" si="45"/>
        <v>0</v>
      </c>
      <c r="AX122" s="198">
        <f t="shared" si="46"/>
        <v>0</v>
      </c>
      <c r="AY122" s="164"/>
      <c r="AZ122" s="23"/>
      <c r="BA122" s="23"/>
      <c r="BB122" s="23"/>
      <c r="BC122" s="23"/>
      <c r="BD122" s="23"/>
      <c r="BE122" s="23"/>
      <c r="BF122" s="23"/>
      <c r="BG122" s="23"/>
      <c r="BH122" s="23"/>
      <c r="BI122" s="23"/>
      <c r="BJ122" s="23"/>
      <c r="BK122" s="23"/>
      <c r="BL122" s="23"/>
      <c r="BM122" s="23"/>
      <c r="BN122" s="23"/>
    </row>
    <row r="123" spans="1:66">
      <c r="A123" s="23">
        <f t="shared" si="41"/>
        <v>0.12095597787435775</v>
      </c>
      <c r="B123" s="100">
        <v>72</v>
      </c>
      <c r="C123" s="6">
        <f t="shared" si="42"/>
        <v>10.975000000000012</v>
      </c>
      <c r="D123" s="6">
        <f t="shared" si="28"/>
        <v>580.50458715596335</v>
      </c>
      <c r="E123" s="87">
        <v>0.15</v>
      </c>
      <c r="F123" s="87" t="str">
        <f t="shared" si="43"/>
        <v>4th</v>
      </c>
      <c r="G123" s="87" t="str" cm="1">
        <f t="array" ref="G123">_xlfn.SWITCH(TRUE,
  OR(C123=$F$46, C123=$G$46, C123=$H$46, C123=$I$46), "端リブ",
  C123&lt;$F$46, "0番",
  C123&lt;$G$46, "1番",
  C123&lt;$H$46, "2番",
  C123&lt;$I$46, "3番",
  C123&lt;$J$46, "4番",
  "ウィングレット"
)</f>
        <v>3番</v>
      </c>
      <c r="H123" s="229" t="s">
        <v>942</v>
      </c>
      <c r="I123" s="6">
        <f>'主翼(桁)'!F117*2</f>
        <v>55.215499999999885</v>
      </c>
      <c r="J123" s="6">
        <f>'主翼(桁)'!G117*2</f>
        <v>54.627499999999884</v>
      </c>
      <c r="K123" s="6">
        <f t="shared" si="29"/>
        <v>0.38</v>
      </c>
      <c r="L123" s="6">
        <f>'主翼(平面形結果)'!O280</f>
        <v>76.36716161764295</v>
      </c>
      <c r="M123" s="196">
        <f t="shared" si="44"/>
        <v>21.151661617643065</v>
      </c>
      <c r="N123" s="273">
        <v>3.7585498429399018</v>
      </c>
      <c r="O123" s="196">
        <v>295653.23870472913</v>
      </c>
      <c r="P123" s="196">
        <v>3.7124540644760087</v>
      </c>
      <c r="Q123" s="196">
        <v>6.2530536050387484E-2</v>
      </c>
      <c r="R123" s="196">
        <v>-0.21982489974737424</v>
      </c>
      <c r="S123" s="196">
        <v>-4.8261265179723378E-3</v>
      </c>
      <c r="T123" s="196">
        <v>0.84042505471234552</v>
      </c>
      <c r="U123" s="196">
        <v>9.2673734148407943E-3</v>
      </c>
      <c r="V123" s="196">
        <v>4.8802169774415562E-3</v>
      </c>
      <c r="W123" s="196">
        <v>-8.5929026767143452E-2</v>
      </c>
      <c r="X123" s="196">
        <v>-1.8865212959089245E-3</v>
      </c>
      <c r="Y123" s="196">
        <v>0.10969628786984256</v>
      </c>
      <c r="Z123" s="196">
        <v>7.2703935834056812E-4</v>
      </c>
      <c r="AA123" s="196">
        <v>2.3118917431092201</v>
      </c>
      <c r="AB123" s="196">
        <v>5.4432804337875312E-2</v>
      </c>
      <c r="AC123" s="196">
        <v>0.32828798171509249</v>
      </c>
      <c r="AD123" s="181" t="str">
        <f t="shared" si="30"/>
        <v>QX0226.dat</v>
      </c>
      <c r="AE123" s="6">
        <f t="shared" si="47"/>
        <v>11.009174311926174</v>
      </c>
      <c r="AF123" s="6" t="str">
        <f t="shared" si="31"/>
        <v>QX0126.dat</v>
      </c>
      <c r="AG123" s="6" cm="1">
        <f t="array" ref="AG123">IF(AD123=AF123,0,
  _xlfn.SWITCH(TRUE,
    $C123&lt;$H$7,  ($C123-$H$6)/($H$7-$H$6),
    $C123&lt;$H$8,  ($C123-$H$7)/($H$8-$H$7),
    $C123&lt;$H$9,  ($C123-$H$8)/($H$9-$H$8),
    $C123&lt;$H$10, ($C123-$H$9)/($H$10-$H$9),
    $C123&lt;$H$11, ($C123-$H$10)/($H$11-$H$10),
    $C123&lt;$H$12, ($C123-$H$11)/($H$12-$H$11),
    ($C123-$H$12)/($H$13-$H$12)
  )*100
)</f>
        <v>88.990825688073826</v>
      </c>
      <c r="AH123" s="6">
        <f t="shared" si="32"/>
        <v>0.22059174311926608</v>
      </c>
      <c r="AI123" s="6">
        <f t="shared" si="33"/>
        <v>-0.35991284403669721</v>
      </c>
      <c r="AJ123" s="6">
        <f t="shared" si="34"/>
        <v>10.956511396867938</v>
      </c>
      <c r="AK123" s="6">
        <f t="shared" si="35"/>
        <v>0.35278356352833057</v>
      </c>
      <c r="AL123" s="6">
        <f t="shared" si="36"/>
        <v>2.7099999999999955</v>
      </c>
      <c r="AM123" s="30">
        <f t="shared" si="37"/>
        <v>6</v>
      </c>
      <c r="AN123" s="198">
        <v>2.5843060417498935</v>
      </c>
      <c r="AO123" s="196">
        <v>12.176869589797008</v>
      </c>
      <c r="AP123" s="196">
        <v>10.898431693437699</v>
      </c>
      <c r="AQ123" s="196">
        <v>0.99254921407895746</v>
      </c>
      <c r="AR123" s="196">
        <v>0.62776351969520527</v>
      </c>
      <c r="AS123" s="196">
        <v>-9.5561225601866834E-2</v>
      </c>
      <c r="AT123" s="196">
        <f t="shared" si="38"/>
        <v>0</v>
      </c>
      <c r="AU123" s="196">
        <f t="shared" si="39"/>
        <v>0</v>
      </c>
      <c r="AV123" s="196">
        <f t="shared" si="40"/>
        <v>0</v>
      </c>
      <c r="AW123" s="196">
        <f t="shared" si="45"/>
        <v>0</v>
      </c>
      <c r="AX123" s="198">
        <f t="shared" si="46"/>
        <v>0</v>
      </c>
      <c r="AY123" s="164"/>
      <c r="AZ123" s="23"/>
      <c r="BA123" s="23"/>
      <c r="BB123" s="23"/>
      <c r="BC123" s="23"/>
      <c r="BD123" s="23"/>
      <c r="BE123" s="23"/>
      <c r="BF123" s="23"/>
      <c r="BG123" s="23"/>
      <c r="BH123" s="23"/>
      <c r="BI123" s="23"/>
      <c r="BJ123" s="23"/>
      <c r="BK123" s="23"/>
      <c r="BL123" s="23"/>
      <c r="BM123" s="23"/>
      <c r="BN123" s="23"/>
    </row>
    <row r="124" spans="1:66">
      <c r="A124" s="23">
        <f t="shared" si="41"/>
        <v>0.11932535926955125</v>
      </c>
      <c r="B124" s="100">
        <v>73</v>
      </c>
      <c r="C124" s="6">
        <f t="shared" si="42"/>
        <v>11.125000000000012</v>
      </c>
      <c r="D124" s="6">
        <f t="shared" si="28"/>
        <v>577.75229357798162</v>
      </c>
      <c r="E124" s="87">
        <v>0.15</v>
      </c>
      <c r="F124" s="87" t="str">
        <f t="shared" si="43"/>
        <v>4th</v>
      </c>
      <c r="G124" s="87" t="str" cm="1">
        <f t="array" ref="G124">_xlfn.SWITCH(TRUE,
  OR(C124=$F$46, C124=$G$46, C124=$H$46, C124=$I$46), "端リブ",
  C124&lt;$F$46, "0番",
  C124&lt;$G$46, "1番",
  C124&lt;$H$46, "2番",
  C124&lt;$I$46, "3番",
  C124&lt;$J$46, "4番",
  "ウィングレット"
)</f>
        <v>3番</v>
      </c>
      <c r="H124" s="229" t="s">
        <v>756</v>
      </c>
      <c r="I124" s="6">
        <f>'主翼(桁)'!F118*2</f>
        <v>53.940499999999894</v>
      </c>
      <c r="J124" s="6">
        <f>'主翼(桁)'!G118*2</f>
        <v>53.352499999999893</v>
      </c>
      <c r="K124" s="6">
        <f t="shared" si="29"/>
        <v>0.38</v>
      </c>
      <c r="L124" s="6">
        <f>'主翼(平面形結果)'!O281</f>
        <v>75.706697685697392</v>
      </c>
      <c r="M124" s="196">
        <f t="shared" si="44"/>
        <v>21.766197685697499</v>
      </c>
      <c r="N124" s="273">
        <v>3.6569079740528543</v>
      </c>
      <c r="O124" s="196">
        <v>294248.15400593431</v>
      </c>
      <c r="P124" s="196">
        <v>3.5907485113299917</v>
      </c>
      <c r="Q124" s="196">
        <v>6.393051338832495E-2</v>
      </c>
      <c r="R124" s="196">
        <v>-0.21021565191886118</v>
      </c>
      <c r="S124" s="196">
        <v>-3.2534728139926141E-3</v>
      </c>
      <c r="T124" s="196">
        <v>0.81688444437477947</v>
      </c>
      <c r="U124" s="196">
        <v>9.1883934729259289E-3</v>
      </c>
      <c r="V124" s="196">
        <v>5.3479964487485347E-3</v>
      </c>
      <c r="W124" s="196">
        <v>-8.2972597582483293E-2</v>
      </c>
      <c r="X124" s="196">
        <v>-1.284153145005365E-3</v>
      </c>
      <c r="Y124" s="196">
        <v>0.11007933042411683</v>
      </c>
      <c r="Z124" s="196">
        <v>7.0821531335017219E-4</v>
      </c>
      <c r="AA124" s="196">
        <v>2.2364553649978558</v>
      </c>
      <c r="AB124" s="196">
        <v>6.128190888519084E-2</v>
      </c>
      <c r="AC124" s="196">
        <v>0.36959431982829599</v>
      </c>
      <c r="AD124" s="181" t="str">
        <f t="shared" si="30"/>
        <v>QX0226.dat</v>
      </c>
      <c r="AE124" s="6">
        <f t="shared" si="47"/>
        <v>5.5045871559628523</v>
      </c>
      <c r="AF124" s="6" t="str">
        <f t="shared" si="31"/>
        <v>QX0126.dat</v>
      </c>
      <c r="AG124" s="6" cm="1">
        <f t="array" ref="AG124">IF(AD124=AF124,0,
  _xlfn.SWITCH(TRUE,
    $C124&lt;$H$7,  ($C124-$H$6)/($H$7-$H$6),
    $C124&lt;$H$8,  ($C124-$H$7)/($H$8-$H$7),
    $C124&lt;$H$9,  ($C124-$H$8)/($H$9-$H$8),
    $C124&lt;$H$10, ($C124-$H$9)/($H$10-$H$9),
    $C124&lt;$H$11, ($C124-$H$10)/($H$11-$H$10),
    $C124&lt;$H$12, ($C124-$H$11)/($H$12-$H$11),
    ($C124-$H$12)/($H$13-$H$12)
  )*100
)</f>
        <v>94.495412844037148</v>
      </c>
      <c r="AH124" s="6">
        <f t="shared" si="32"/>
        <v>0.21954587155963301</v>
      </c>
      <c r="AI124" s="6">
        <f t="shared" si="33"/>
        <v>-0.35820642201834862</v>
      </c>
      <c r="AJ124" s="6">
        <f t="shared" si="34"/>
        <v>11.10568968117318</v>
      </c>
      <c r="AK124" s="6">
        <f t="shared" si="35"/>
        <v>0.3684628330184786</v>
      </c>
      <c r="AL124" s="6">
        <f t="shared" si="36"/>
        <v>2.649999999999995</v>
      </c>
      <c r="AM124" s="30">
        <f t="shared" si="37"/>
        <v>6</v>
      </c>
      <c r="AN124" s="198">
        <v>2.5240322058207605</v>
      </c>
      <c r="AO124" s="196">
        <v>12.21888321738229</v>
      </c>
      <c r="AP124" s="196">
        <v>11.045056862463772</v>
      </c>
      <c r="AQ124" s="196">
        <v>1.0241887432801862</v>
      </c>
      <c r="AR124" s="196">
        <v>0.64387544534805607</v>
      </c>
      <c r="AS124" s="196">
        <v>-9.5845794745317028E-2</v>
      </c>
      <c r="AT124" s="196">
        <f t="shared" si="38"/>
        <v>0</v>
      </c>
      <c r="AU124" s="196">
        <f t="shared" si="39"/>
        <v>0</v>
      </c>
      <c r="AV124" s="196">
        <f t="shared" si="40"/>
        <v>0</v>
      </c>
      <c r="AW124" s="196">
        <f t="shared" si="45"/>
        <v>0</v>
      </c>
      <c r="AX124" s="198">
        <f t="shared" si="46"/>
        <v>0</v>
      </c>
      <c r="AY124" s="164"/>
      <c r="AZ124" s="23"/>
      <c r="BA124" s="23"/>
      <c r="BB124" s="23"/>
      <c r="BC124" s="23"/>
      <c r="BD124" s="23"/>
      <c r="BE124" s="23"/>
      <c r="BF124" s="23"/>
      <c r="BG124" s="23"/>
      <c r="BH124" s="23"/>
      <c r="BI124" s="23"/>
      <c r="BJ124" s="23"/>
      <c r="BK124" s="23"/>
      <c r="BL124" s="23"/>
      <c r="BM124" s="23"/>
      <c r="BN124" s="23"/>
    </row>
    <row r="125" spans="1:66">
      <c r="A125" s="23">
        <f t="shared" si="41"/>
        <v>0.1176791304347828</v>
      </c>
      <c r="B125" s="100">
        <v>74</v>
      </c>
      <c r="C125" s="6">
        <f t="shared" si="42"/>
        <v>11.275000000000013</v>
      </c>
      <c r="D125" s="6">
        <f t="shared" si="28"/>
        <v>574.99999999999818</v>
      </c>
      <c r="E125" s="87">
        <v>0.15</v>
      </c>
      <c r="F125" s="87" t="str">
        <f t="shared" si="43"/>
        <v>5th</v>
      </c>
      <c r="G125" s="87" t="str" cm="1">
        <f t="array" ref="G125">_xlfn.SWITCH(TRUE,
  OR(C125=$F$46, C125=$G$46, C125=$H$46, C125=$I$46), "端リブ",
  C125&lt;$F$46, "0番",
  C125&lt;$G$46, "1番",
  C125&lt;$H$46, "2番",
  C125&lt;$I$46, "3番",
  C125&lt;$J$46, "4番",
  "ウィングレット"
)</f>
        <v>3番</v>
      </c>
      <c r="H125" s="229" t="s">
        <v>942</v>
      </c>
      <c r="I125" s="6">
        <f>'主翼(桁)'!F119*2</f>
        <v>52.665499999999888</v>
      </c>
      <c r="J125" s="6">
        <f>'主翼(桁)'!G119*2</f>
        <v>52.077499999999887</v>
      </c>
      <c r="K125" s="6">
        <f t="shared" si="29"/>
        <v>0.38</v>
      </c>
      <c r="L125" s="6">
        <f>'主翼(平面形結果)'!O282</f>
        <v>75.049076703404992</v>
      </c>
      <c r="M125" s="196">
        <f t="shared" si="44"/>
        <v>22.383576703405105</v>
      </c>
      <c r="N125" s="273">
        <v>3.6137305511061553</v>
      </c>
      <c r="O125" s="196">
        <v>287378.04933407059</v>
      </c>
      <c r="P125" s="196">
        <v>3.4594347140460826</v>
      </c>
      <c r="Q125" s="196">
        <v>6.3109712806754925E-2</v>
      </c>
      <c r="R125" s="196">
        <v>-0.19693448917537631</v>
      </c>
      <c r="S125" s="196">
        <v>-2.1963642452362975E-3</v>
      </c>
      <c r="T125" s="196">
        <v>0.80594126205840644</v>
      </c>
      <c r="U125" s="196">
        <v>9.2319695077073965E-3</v>
      </c>
      <c r="V125" s="196">
        <v>5.4631862488839717E-3</v>
      </c>
      <c r="W125" s="196">
        <v>-8.1503111322330124E-2</v>
      </c>
      <c r="X125" s="196">
        <v>-9.0898511648949964E-4</v>
      </c>
      <c r="Y125" s="196">
        <v>0.11023618409736897</v>
      </c>
      <c r="Z125" s="196">
        <v>7.04169408749612E-4</v>
      </c>
      <c r="AA125" s="196">
        <v>2.15497802376282</v>
      </c>
      <c r="AB125" s="196">
        <v>6.3422103103221023E-2</v>
      </c>
      <c r="AC125" s="196">
        <v>0.38250156334014512</v>
      </c>
      <c r="AD125" s="181" t="str">
        <f t="shared" si="30"/>
        <v>QX0126.dat</v>
      </c>
      <c r="AE125" s="6">
        <f t="shared" si="47"/>
        <v>100</v>
      </c>
      <c r="AF125" s="6" t="str">
        <f t="shared" si="31"/>
        <v>QX0126.dat</v>
      </c>
      <c r="AG125" s="6" cm="1">
        <f t="array" ref="AG125">IF(AD125=AF125,0,
  _xlfn.SWITCH(TRUE,
    $C125&lt;$H$7,  ($C125-$H$6)/($H$7-$H$6),
    $C125&lt;$H$8,  ($C125-$H$7)/($H$8-$H$7),
    $C125&lt;$H$9,  ($C125-$H$8)/($H$9-$H$8),
    $C125&lt;$H$10, ($C125-$H$9)/($H$10-$H$9),
    $C125&lt;$H$11, ($C125-$H$10)/($H$11-$H$10),
    $C125&lt;$H$12, ($C125-$H$11)/($H$12-$H$11),
    ($C125-$H$12)/($H$13-$H$12)
  )*100
)</f>
        <v>0</v>
      </c>
      <c r="AH125" s="6">
        <f t="shared" si="32"/>
        <v>0.21849999999999931</v>
      </c>
      <c r="AI125" s="6">
        <f t="shared" si="33"/>
        <v>-0.35649999999999887</v>
      </c>
      <c r="AJ125" s="6">
        <f t="shared" si="34"/>
        <v>11.254867965478422</v>
      </c>
      <c r="AK125" s="6">
        <f t="shared" si="35"/>
        <v>0.38414210250862663</v>
      </c>
      <c r="AL125" s="6">
        <f t="shared" si="36"/>
        <v>2.5899999999999919</v>
      </c>
      <c r="AM125" s="30">
        <f t="shared" si="37"/>
        <v>6</v>
      </c>
      <c r="AN125" s="198">
        <v>2.4937773359198738</v>
      </c>
      <c r="AO125" s="196">
        <v>12.256874667336163</v>
      </c>
      <c r="AP125" s="196">
        <v>11.191658791560604</v>
      </c>
      <c r="AQ125" s="196">
        <v>1.0559357807023968</v>
      </c>
      <c r="AR125" s="196">
        <v>0.66010256194794614</v>
      </c>
      <c r="AS125" s="196">
        <v>-9.6109344350636741E-2</v>
      </c>
      <c r="AT125" s="196">
        <f t="shared" si="38"/>
        <v>0</v>
      </c>
      <c r="AU125" s="196">
        <f t="shared" si="39"/>
        <v>0</v>
      </c>
      <c r="AV125" s="196">
        <f t="shared" si="40"/>
        <v>0</v>
      </c>
      <c r="AW125" s="196">
        <f t="shared" si="45"/>
        <v>0</v>
      </c>
      <c r="AX125" s="198">
        <f t="shared" si="46"/>
        <v>0</v>
      </c>
      <c r="AY125" s="164"/>
      <c r="AZ125" s="23"/>
      <c r="BA125" s="23"/>
      <c r="BB125" s="23"/>
      <c r="BC125" s="23"/>
      <c r="BD125" s="23"/>
      <c r="BE125" s="23"/>
      <c r="BF125" s="23"/>
      <c r="BG125" s="23"/>
      <c r="BH125" s="23"/>
      <c r="BI125" s="23"/>
      <c r="BJ125" s="23"/>
      <c r="BK125" s="23"/>
      <c r="BL125" s="23"/>
      <c r="BM125" s="23"/>
      <c r="BN125" s="23"/>
    </row>
    <row r="126" spans="1:66">
      <c r="A126" s="23">
        <f t="shared" si="41"/>
        <v>0.12052639713458634</v>
      </c>
      <c r="B126" s="100">
        <v>75</v>
      </c>
      <c r="C126" s="6">
        <f t="shared" si="42"/>
        <v>11.425000000000013</v>
      </c>
      <c r="D126" s="6">
        <f t="shared" si="28"/>
        <v>550.83783783783599</v>
      </c>
      <c r="E126" s="87">
        <v>0.15</v>
      </c>
      <c r="F126" s="87" t="str">
        <f t="shared" si="43"/>
        <v>5th</v>
      </c>
      <c r="G126" s="87" t="str" cm="1">
        <f t="array" ref="G126">_xlfn.SWITCH(TRUE,
  OR(C126=$F$46, C126=$G$46, C126=$H$46, C126=$I$46), "端リブ",
  C126&lt;$F$46, "0番",
  C126&lt;$G$46, "1番",
  C126&lt;$H$46, "2番",
  C126&lt;$I$46, "3番",
  C126&lt;$J$46, "4番",
  "ウィングレット"
)</f>
        <v>3番</v>
      </c>
      <c r="H126" s="229" t="s">
        <v>756</v>
      </c>
      <c r="I126" s="6">
        <f>'主翼(桁)'!F120*2</f>
        <v>51.390499999999882</v>
      </c>
      <c r="J126" s="6">
        <f>'主翼(桁)'!G120*2</f>
        <v>50.802499999999881</v>
      </c>
      <c r="K126" s="6">
        <f t="shared" si="29"/>
        <v>0.38</v>
      </c>
      <c r="L126" s="6">
        <f>'主翼(平面形結果)'!O283</f>
        <v>71.895428074834172</v>
      </c>
      <c r="M126" s="196">
        <f t="shared" si="44"/>
        <v>20.504928074834289</v>
      </c>
      <c r="N126" s="273">
        <v>3.6297343360756757</v>
      </c>
      <c r="O126" s="196">
        <v>275042.9246891379</v>
      </c>
      <c r="P126" s="196">
        <v>3.3177642779163348</v>
      </c>
      <c r="Q126" s="196">
        <v>6.0205703066920219E-2</v>
      </c>
      <c r="R126" s="196">
        <v>-0.1804240318746074</v>
      </c>
      <c r="S126" s="196">
        <v>-1.6772396692445847E-3</v>
      </c>
      <c r="T126" s="196">
        <v>0.80770504574087887</v>
      </c>
      <c r="U126" s="196">
        <v>9.4080359217054293E-3</v>
      </c>
      <c r="V126" s="196">
        <v>5.2413563769727646E-3</v>
      </c>
      <c r="W126" s="196">
        <v>-8.1528400661089628E-2</v>
      </c>
      <c r="X126" s="196">
        <v>-7.5789608700176092E-4</v>
      </c>
      <c r="Y126" s="196">
        <v>0.11018456986263518</v>
      </c>
      <c r="Z126" s="196">
        <v>7.1633544466764365E-4</v>
      </c>
      <c r="AA126" s="196">
        <v>2.066993616582264</v>
      </c>
      <c r="AB126" s="196">
        <v>6.0734065398017165E-2</v>
      </c>
      <c r="AC126" s="196">
        <v>0.36629033823000728</v>
      </c>
      <c r="AD126" s="181" t="str">
        <f t="shared" si="30"/>
        <v>QX0126.dat</v>
      </c>
      <c r="AE126" s="6">
        <f t="shared" si="47"/>
        <v>100</v>
      </c>
      <c r="AF126" s="6" t="str">
        <f t="shared" si="31"/>
        <v>QX0126.dat</v>
      </c>
      <c r="AG126" s="6" cm="1">
        <f t="array" ref="AG126">IF(AD126=AF126,0,
  _xlfn.SWITCH(TRUE,
    $C126&lt;$H$7,  ($C126-$H$6)/($H$7-$H$6),
    $C126&lt;$H$8,  ($C126-$H$7)/($H$8-$H$7),
    $C126&lt;$H$9,  ($C126-$H$8)/($H$9-$H$8),
    $C126&lt;$H$10, ($C126-$H$9)/($H$10-$H$9),
    $C126&lt;$H$11, ($C126-$H$10)/($H$11-$H$10),
    $C126&lt;$H$12, ($C126-$H$11)/($H$12-$H$11),
    ($C126-$H$12)/($H$13-$H$12)
  )*100
)</f>
        <v>0</v>
      </c>
      <c r="AH126" s="6">
        <f t="shared" si="32"/>
        <v>0.20931837837837766</v>
      </c>
      <c r="AI126" s="6">
        <f t="shared" si="33"/>
        <v>-0.34151945945945839</v>
      </c>
      <c r="AJ126" s="6">
        <f t="shared" si="34"/>
        <v>11.404046249783663</v>
      </c>
      <c r="AK126" s="6">
        <f t="shared" si="35"/>
        <v>0.39982137199877466</v>
      </c>
      <c r="AL126" s="6">
        <f t="shared" si="36"/>
        <v>2.4943243243243156</v>
      </c>
      <c r="AM126" s="30">
        <f t="shared" si="37"/>
        <v>6</v>
      </c>
      <c r="AN126" s="198">
        <v>2.4935380626780241</v>
      </c>
      <c r="AO126" s="196">
        <v>12.290774173196622</v>
      </c>
      <c r="AP126" s="196">
        <v>11.3382396377357</v>
      </c>
      <c r="AQ126" s="196">
        <v>1.0877800193428895</v>
      </c>
      <c r="AR126" s="196">
        <v>0.67643444896570815</v>
      </c>
      <c r="AS126" s="196">
        <v>-9.6355969513322356E-2</v>
      </c>
      <c r="AT126" s="196">
        <f t="shared" si="38"/>
        <v>0</v>
      </c>
      <c r="AU126" s="196">
        <f t="shared" si="39"/>
        <v>0</v>
      </c>
      <c r="AV126" s="196">
        <f t="shared" si="40"/>
        <v>0</v>
      </c>
      <c r="AW126" s="196">
        <f t="shared" si="45"/>
        <v>0</v>
      </c>
      <c r="AX126" s="198">
        <f t="shared" si="46"/>
        <v>0</v>
      </c>
      <c r="AY126" s="164"/>
      <c r="AZ126" s="23"/>
      <c r="BA126" s="23"/>
      <c r="BB126" s="23"/>
      <c r="BC126" s="23"/>
      <c r="BD126" s="23"/>
      <c r="BE126" s="23"/>
      <c r="BF126" s="23"/>
      <c r="BG126" s="23"/>
      <c r="BH126" s="23"/>
      <c r="BI126" s="23"/>
      <c r="BJ126" s="23"/>
      <c r="BK126" s="23"/>
      <c r="BL126" s="23"/>
      <c r="BM126" s="23"/>
      <c r="BN126" s="23"/>
    </row>
    <row r="127" spans="1:66">
      <c r="A127" s="23">
        <f t="shared" si="41"/>
        <v>0.12363491045312285</v>
      </c>
      <c r="B127" s="100">
        <v>76</v>
      </c>
      <c r="C127" s="6">
        <f t="shared" si="42"/>
        <v>11.575000000000014</v>
      </c>
      <c r="D127" s="6">
        <f t="shared" si="28"/>
        <v>526.67567567567369</v>
      </c>
      <c r="E127" s="87">
        <v>0.15</v>
      </c>
      <c r="F127" s="87" t="str">
        <f t="shared" si="43"/>
        <v>5th</v>
      </c>
      <c r="G127" s="87" t="str" cm="1">
        <f t="array" ref="G127">_xlfn.SWITCH(TRUE,
  OR(C127=$F$46, C127=$G$46, C127=$H$46, C127=$I$46), "端リブ",
  C127&lt;$F$46, "0番",
  C127&lt;$G$46, "1番",
  C127&lt;$H$46, "2番",
  C127&lt;$I$46, "3番",
  C127&lt;$J$46, "4番",
  "ウィングレット"
)</f>
        <v>3番</v>
      </c>
      <c r="H127" s="229" t="s">
        <v>942</v>
      </c>
      <c r="I127" s="6">
        <f>'主翼(桁)'!F121*2</f>
        <v>50.115499999999876</v>
      </c>
      <c r="J127" s="6">
        <f>'主翼(桁)'!G121*2</f>
        <v>49.527499999999876</v>
      </c>
      <c r="K127" s="6">
        <f t="shared" si="29"/>
        <v>0.38</v>
      </c>
      <c r="L127" s="6">
        <f>'主翼(平面形結果)'!O284</f>
        <v>68.741779446263408</v>
      </c>
      <c r="M127" s="196">
        <f t="shared" si="44"/>
        <v>18.626279446263531</v>
      </c>
      <c r="N127" s="273">
        <v>3.6331778263108321</v>
      </c>
      <c r="O127" s="196">
        <v>262707.80004420516</v>
      </c>
      <c r="P127" s="196">
        <v>3.1700984501527687</v>
      </c>
      <c r="Q127" s="196">
        <v>5.8012639937874123E-2</v>
      </c>
      <c r="R127" s="196">
        <v>-0.16468233934611101</v>
      </c>
      <c r="S127" s="196">
        <v>-1.5507866679793248E-3</v>
      </c>
      <c r="T127" s="196">
        <v>0.80808444602941376</v>
      </c>
      <c r="U127" s="196">
        <v>9.5888567891270621E-3</v>
      </c>
      <c r="V127" s="196">
        <v>5.1913517299151746E-3</v>
      </c>
      <c r="W127" s="196">
        <v>-8.1576638471589469E-2</v>
      </c>
      <c r="X127" s="196">
        <v>-7.6819386864811212E-4</v>
      </c>
      <c r="Y127" s="196">
        <v>0.1101734143698216</v>
      </c>
      <c r="Z127" s="196">
        <v>7.2374314667036184E-4</v>
      </c>
      <c r="AA127" s="196">
        <v>1.9752204675378437</v>
      </c>
      <c r="AB127" s="196">
        <v>6.0129682717743695E-2</v>
      </c>
      <c r="AC127" s="196">
        <v>0.36264537238023747</v>
      </c>
      <c r="AD127" s="181" t="str">
        <f t="shared" si="30"/>
        <v>QX0126.dat</v>
      </c>
      <c r="AE127" s="6">
        <f t="shared" si="47"/>
        <v>100</v>
      </c>
      <c r="AF127" s="6" t="str">
        <f t="shared" si="31"/>
        <v>QX0126.dat</v>
      </c>
      <c r="AG127" s="6" cm="1">
        <f t="array" ref="AG127">IF(AD127=AF127,0,
  _xlfn.SWITCH(TRUE,
    $C127&lt;$H$7,  ($C127-$H$6)/($H$7-$H$6),
    $C127&lt;$H$8,  ($C127-$H$7)/($H$8-$H$7),
    $C127&lt;$H$9,  ($C127-$H$8)/($H$9-$H$8),
    $C127&lt;$H$10, ($C127-$H$9)/($H$10-$H$9),
    $C127&lt;$H$11, ($C127-$H$10)/($H$11-$H$10),
    $C127&lt;$H$12, ($C127-$H$11)/($H$12-$H$11),
    ($C127-$H$12)/($H$13-$H$12)
  )*100
)</f>
        <v>0</v>
      </c>
      <c r="AH127" s="6">
        <f t="shared" si="32"/>
        <v>0.20013675675675599</v>
      </c>
      <c r="AI127" s="6">
        <f t="shared" si="33"/>
        <v>-0.32653891891891762</v>
      </c>
      <c r="AJ127" s="6">
        <f t="shared" si="34"/>
        <v>11.553224534088905</v>
      </c>
      <c r="AK127" s="6">
        <f t="shared" si="35"/>
        <v>0.41550064148892268</v>
      </c>
      <c r="AL127" s="6">
        <f t="shared" si="36"/>
        <v>2.3986486486486402</v>
      </c>
      <c r="AM127" s="30">
        <f t="shared" si="37"/>
        <v>6</v>
      </c>
      <c r="AN127" s="198">
        <v>2.4933123722918857</v>
      </c>
      <c r="AO127" s="196">
        <v>12.320541257810152</v>
      </c>
      <c r="AP127" s="196">
        <v>11.484801617357618</v>
      </c>
      <c r="AQ127" s="196">
        <v>1.1197109781337615</v>
      </c>
      <c r="AR127" s="196">
        <v>0.6928604689365282</v>
      </c>
      <c r="AS127" s="196">
        <v>-9.6588308110699503E-2</v>
      </c>
      <c r="AT127" s="196">
        <f t="shared" si="38"/>
        <v>0</v>
      </c>
      <c r="AU127" s="196">
        <f t="shared" si="39"/>
        <v>0</v>
      </c>
      <c r="AV127" s="196">
        <f t="shared" si="40"/>
        <v>0</v>
      </c>
      <c r="AW127" s="196">
        <f t="shared" si="45"/>
        <v>0</v>
      </c>
      <c r="AX127" s="198">
        <f t="shared" si="46"/>
        <v>0</v>
      </c>
      <c r="AY127" s="164"/>
      <c r="AZ127" s="23"/>
      <c r="BA127" s="23"/>
      <c r="BB127" s="23"/>
      <c r="BC127" s="23"/>
      <c r="BD127" s="23"/>
      <c r="BE127" s="23"/>
      <c r="BF127" s="23"/>
      <c r="BG127" s="23"/>
      <c r="BH127" s="23"/>
      <c r="BI127" s="23"/>
      <c r="BJ127" s="23"/>
      <c r="BK127" s="23"/>
      <c r="BL127" s="23"/>
      <c r="BM127" s="23"/>
      <c r="BN127" s="23"/>
    </row>
    <row r="128" spans="1:66">
      <c r="A128" s="23">
        <f t="shared" si="41"/>
        <v>0.12704235464959956</v>
      </c>
      <c r="B128" s="100">
        <v>77</v>
      </c>
      <c r="C128" s="6">
        <f t="shared" si="42"/>
        <v>11.725000000000014</v>
      </c>
      <c r="D128" s="6">
        <f t="shared" si="28"/>
        <v>502.5135135135115</v>
      </c>
      <c r="E128" s="87">
        <v>0.15</v>
      </c>
      <c r="F128" s="87" t="str">
        <f t="shared" si="43"/>
        <v>5th</v>
      </c>
      <c r="G128" s="87" t="str" cm="1">
        <f t="array" ref="G128">_xlfn.SWITCH(TRUE,
  OR(C128=$F$46, C128=$G$46, C128=$H$46, C128=$I$46), "端リブ",
  C128&lt;$F$46, "0番",
  C128&lt;$G$46, "1番",
  C128&lt;$H$46, "2番",
  C128&lt;$I$46, "3番",
  C128&lt;$J$46, "4番",
  "ウィングレット"
)</f>
        <v>3番</v>
      </c>
      <c r="H128" s="229" t="s">
        <v>756</v>
      </c>
      <c r="I128" s="6">
        <f>'主翼(桁)'!F122*2</f>
        <v>48.840499999999871</v>
      </c>
      <c r="J128" s="6">
        <f>'主翼(桁)'!G122*2</f>
        <v>48.25249999999987</v>
      </c>
      <c r="K128" s="6">
        <f t="shared" si="29"/>
        <v>0.38</v>
      </c>
      <c r="L128" s="6">
        <f>'主翼(平面形結果)'!O285</f>
        <v>65.588130817692559</v>
      </c>
      <c r="M128" s="196">
        <f t="shared" si="44"/>
        <v>16.747630817692688</v>
      </c>
      <c r="N128" s="273">
        <v>3.6230420483891077</v>
      </c>
      <c r="O128" s="196">
        <v>250372.67539927241</v>
      </c>
      <c r="P128" s="196">
        <v>3.0167795736537393</v>
      </c>
      <c r="Q128" s="196">
        <v>5.6489092564868212E-2</v>
      </c>
      <c r="R128" s="196">
        <v>-0.14970391451401419</v>
      </c>
      <c r="S128" s="196">
        <v>-1.7512600720661839E-3</v>
      </c>
      <c r="T128" s="196">
        <v>0.8069675864871485</v>
      </c>
      <c r="U128" s="196">
        <v>9.7749972449027167E-3</v>
      </c>
      <c r="V128" s="196">
        <v>5.3277203917544268E-3</v>
      </c>
      <c r="W128" s="196">
        <v>-8.1651935910655116E-2</v>
      </c>
      <c r="X128" s="196">
        <v>-9.5517726194027652E-4</v>
      </c>
      <c r="Y128" s="196">
        <v>0.11020619966718581</v>
      </c>
      <c r="Z128" s="196">
        <v>7.2577126828636583E-4</v>
      </c>
      <c r="AA128" s="196">
        <v>1.879874612591353</v>
      </c>
      <c r="AB128" s="196">
        <v>6.1777216751765E-2</v>
      </c>
      <c r="AC128" s="196">
        <v>0.3725814629744274</v>
      </c>
      <c r="AD128" s="181" t="str">
        <f t="shared" si="30"/>
        <v>QX0126.dat</v>
      </c>
      <c r="AE128" s="6">
        <f t="shared" si="47"/>
        <v>100</v>
      </c>
      <c r="AF128" s="6" t="str">
        <f t="shared" si="31"/>
        <v>QX0126.dat</v>
      </c>
      <c r="AG128" s="6" cm="1">
        <f t="array" ref="AG128">IF(AD128=AF128,0,
  _xlfn.SWITCH(TRUE,
    $C128&lt;$H$7,  ($C128-$H$6)/($H$7-$H$6),
    $C128&lt;$H$8,  ($C128-$H$7)/($H$8-$H$7),
    $C128&lt;$H$9,  ($C128-$H$8)/($H$9-$H$8),
    $C128&lt;$H$10, ($C128-$H$9)/($H$10-$H$9),
    $C128&lt;$H$11, ($C128-$H$10)/($H$11-$H$10),
    $C128&lt;$H$12, ($C128-$H$11)/($H$12-$H$11),
    ($C128-$H$12)/($H$13-$H$12)
  )*100
)</f>
        <v>0</v>
      </c>
      <c r="AH128" s="6">
        <f t="shared" si="32"/>
        <v>0.19095513513513437</v>
      </c>
      <c r="AI128" s="6">
        <f t="shared" si="33"/>
        <v>-0.31155837837837708</v>
      </c>
      <c r="AJ128" s="6">
        <f t="shared" si="34"/>
        <v>11.702402818394146</v>
      </c>
      <c r="AK128" s="6">
        <f t="shared" si="35"/>
        <v>0.43117991097907071</v>
      </c>
      <c r="AL128" s="6">
        <f t="shared" si="36"/>
        <v>2.302972972972964</v>
      </c>
      <c r="AM128" s="30">
        <f t="shared" si="37"/>
        <v>6</v>
      </c>
      <c r="AN128" s="198">
        <v>2.4930996535380685</v>
      </c>
      <c r="AO128" s="196">
        <v>12.346171258345837</v>
      </c>
      <c r="AP128" s="196">
        <v>11.631346987993533</v>
      </c>
      <c r="AQ128" s="196">
        <v>1.1517180764899415</v>
      </c>
      <c r="AR128" s="196">
        <v>0.70936983607971049</v>
      </c>
      <c r="AS128" s="196">
        <v>-9.6807744601348153E-2</v>
      </c>
      <c r="AT128" s="196">
        <f t="shared" si="38"/>
        <v>0</v>
      </c>
      <c r="AU128" s="196">
        <f t="shared" si="39"/>
        <v>0</v>
      </c>
      <c r="AV128" s="196">
        <f t="shared" si="40"/>
        <v>0</v>
      </c>
      <c r="AW128" s="196">
        <f t="shared" si="45"/>
        <v>0</v>
      </c>
      <c r="AX128" s="198">
        <f t="shared" si="46"/>
        <v>0</v>
      </c>
      <c r="AY128" s="164"/>
      <c r="AZ128" s="23"/>
      <c r="BA128" s="23"/>
      <c r="BB128" s="23"/>
      <c r="BC128" s="23"/>
      <c r="BD128" s="23"/>
      <c r="BE128" s="23"/>
      <c r="BF128" s="23"/>
      <c r="BG128" s="23"/>
      <c r="BH128" s="23"/>
      <c r="BI128" s="23"/>
      <c r="BJ128" s="23"/>
      <c r="BK128" s="23"/>
      <c r="BL128" s="23"/>
      <c r="BM128" s="23"/>
      <c r="BN128" s="23"/>
    </row>
    <row r="129" spans="1:66">
      <c r="A129" s="23">
        <f t="shared" si="41"/>
        <v>0.13079402791118172</v>
      </c>
      <c r="B129" s="100">
        <v>78</v>
      </c>
      <c r="C129" s="6">
        <f t="shared" si="42"/>
        <v>11.875000000000014</v>
      </c>
      <c r="D129" s="6">
        <f t="shared" si="28"/>
        <v>478.35135135134931</v>
      </c>
      <c r="E129" s="87">
        <v>0.15</v>
      </c>
      <c r="F129" s="87" t="str">
        <f t="shared" si="43"/>
        <v>5th</v>
      </c>
      <c r="G129" s="87" t="str" cm="1">
        <f t="array" ref="G129">_xlfn.SWITCH(TRUE,
  OR(C129=$F$46, C129=$G$46, C129=$H$46, C129=$I$46), "端リブ",
  C129&lt;$F$46, "0番",
  C129&lt;$G$46, "1番",
  C129&lt;$H$46, "2番",
  C129&lt;$I$46, "3番",
  C129&lt;$J$46, "4番",
  "ウィングレット"
)</f>
        <v>3番</v>
      </c>
      <c r="H129" s="229" t="s">
        <v>942</v>
      </c>
      <c r="I129" s="6">
        <f>'主翼(桁)'!F123*2</f>
        <v>47.565499999999879</v>
      </c>
      <c r="J129" s="6">
        <f>'主翼(桁)'!G123*2</f>
        <v>46.977499999999878</v>
      </c>
      <c r="K129" s="6">
        <f t="shared" si="29"/>
        <v>0.38</v>
      </c>
      <c r="L129" s="6">
        <f>'主翼(平面形結果)'!O286</f>
        <v>62.434482189121745</v>
      </c>
      <c r="M129" s="196">
        <f t="shared" si="44"/>
        <v>14.868982189121866</v>
      </c>
      <c r="N129" s="273">
        <v>3.5931111617413807</v>
      </c>
      <c r="O129" s="196">
        <v>238037.55075433964</v>
      </c>
      <c r="P129" s="196">
        <v>2.8561876464785105</v>
      </c>
      <c r="Q129" s="196">
        <v>5.581384223922109E-2</v>
      </c>
      <c r="R129" s="196">
        <v>-0.1354911467585988</v>
      </c>
      <c r="S129" s="196">
        <v>-2.3156081719845623E-3</v>
      </c>
      <c r="T129" s="196">
        <v>0.8036675783589593</v>
      </c>
      <c r="U129" s="196">
        <v>9.9637346376183628E-3</v>
      </c>
      <c r="V129" s="196">
        <v>5.7333860046388154E-3</v>
      </c>
      <c r="W129" s="196">
        <v>-8.1764145998735382E-2</v>
      </c>
      <c r="X129" s="196">
        <v>-1.3973881628394635E-3</v>
      </c>
      <c r="Y129" s="196">
        <v>0.1103021232844983</v>
      </c>
      <c r="Z129" s="196">
        <v>7.1952331698470554E-4</v>
      </c>
      <c r="AA129" s="196">
        <v>1.7799499201022069</v>
      </c>
      <c r="AB129" s="196">
        <v>6.6706782072654111E-2</v>
      </c>
      <c r="AC129" s="196">
        <v>0.4023109752008478</v>
      </c>
      <c r="AD129" s="181" t="str">
        <f t="shared" si="30"/>
        <v>QX0126.dat</v>
      </c>
      <c r="AE129" s="6">
        <f t="shared" si="47"/>
        <v>100</v>
      </c>
      <c r="AF129" s="6" t="str">
        <f t="shared" si="31"/>
        <v>QX0126.dat</v>
      </c>
      <c r="AG129" s="6" cm="1">
        <f t="array" ref="AG129">IF(AD129=AF129,0,
  _xlfn.SWITCH(TRUE,
    $C129&lt;$H$7,  ($C129-$H$6)/($H$7-$H$6),
    $C129&lt;$H$8,  ($C129-$H$7)/($H$8-$H$7),
    $C129&lt;$H$9,  ($C129-$H$8)/($H$9-$H$8),
    $C129&lt;$H$10, ($C129-$H$9)/($H$10-$H$9),
    $C129&lt;$H$11, ($C129-$H$10)/($H$11-$H$10),
    $C129&lt;$H$12, ($C129-$H$11)/($H$12-$H$11),
    ($C129-$H$12)/($H$13-$H$12)
  )*100
)</f>
        <v>0</v>
      </c>
      <c r="AH129" s="6">
        <f t="shared" si="32"/>
        <v>0.18177351351351273</v>
      </c>
      <c r="AI129" s="6">
        <f t="shared" si="33"/>
        <v>-0.29657783783783659</v>
      </c>
      <c r="AJ129" s="6">
        <f t="shared" si="34"/>
        <v>11.851581102699388</v>
      </c>
      <c r="AK129" s="6">
        <f t="shared" si="35"/>
        <v>0.44685918046921874</v>
      </c>
      <c r="AL129" s="6">
        <f t="shared" si="36"/>
        <v>2.2072972972972877</v>
      </c>
      <c r="AM129" s="30">
        <f t="shared" si="37"/>
        <v>6</v>
      </c>
      <c r="AN129" s="198">
        <v>2.4929013439833234</v>
      </c>
      <c r="AO129" s="196">
        <v>12.367695752127464</v>
      </c>
      <c r="AP129" s="196">
        <v>11.777878026299913</v>
      </c>
      <c r="AQ129" s="196">
        <v>1.1837907254739974</v>
      </c>
      <c r="AR129" s="196">
        <v>0.72595170101684325</v>
      </c>
      <c r="AS129" s="196">
        <v>-9.7014111325612551E-2</v>
      </c>
      <c r="AT129" s="196">
        <f t="shared" si="38"/>
        <v>0</v>
      </c>
      <c r="AU129" s="196">
        <f t="shared" si="39"/>
        <v>0</v>
      </c>
      <c r="AV129" s="196">
        <f t="shared" si="40"/>
        <v>0</v>
      </c>
      <c r="AW129" s="196">
        <f t="shared" si="45"/>
        <v>0</v>
      </c>
      <c r="AX129" s="198">
        <f t="shared" si="46"/>
        <v>0</v>
      </c>
      <c r="AY129" s="164"/>
      <c r="AZ129" s="23"/>
      <c r="BA129" s="23"/>
      <c r="BB129" s="23"/>
      <c r="BC129" s="23"/>
      <c r="BD129" s="23"/>
      <c r="BE129" s="23"/>
      <c r="BF129" s="23"/>
      <c r="BG129" s="23"/>
      <c r="BH129" s="23"/>
      <c r="BI129" s="23"/>
      <c r="BJ129" s="23"/>
      <c r="BK129" s="23"/>
      <c r="BL129" s="23"/>
      <c r="BM129" s="23"/>
      <c r="BN129" s="23"/>
    </row>
    <row r="130" spans="1:66">
      <c r="A130" s="23">
        <f t="shared" si="41"/>
        <v>0.13494486759892929</v>
      </c>
      <c r="B130" s="100">
        <v>79</v>
      </c>
      <c r="C130" s="6">
        <f t="shared" si="42"/>
        <v>12.025000000000015</v>
      </c>
      <c r="D130" s="6">
        <f t="shared" si="28"/>
        <v>454.18918918918695</v>
      </c>
      <c r="E130" s="87">
        <v>0.17499999999999999</v>
      </c>
      <c r="F130" s="87" t="str">
        <f t="shared" si="43"/>
        <v>5th</v>
      </c>
      <c r="G130" s="87" t="str" cm="1">
        <f t="array" ref="G130">_xlfn.SWITCH(TRUE,
  OR(C130=$F$46, C130=$G$46, C130=$H$46, C130=$I$46), "端リブ",
  C130&lt;$F$46, "0番",
  C130&lt;$G$46, "1番",
  C130&lt;$H$46, "2番",
  C130&lt;$I$46, "3番",
  C130&lt;$J$46, "4番",
  "ウィングレット"
)</f>
        <v>3番</v>
      </c>
      <c r="H130" s="229" t="s">
        <v>756</v>
      </c>
      <c r="I130" s="6">
        <f>'主翼(桁)'!F124*2</f>
        <v>46.290499999999874</v>
      </c>
      <c r="J130" s="6">
        <f>'主翼(桁)'!G124*2</f>
        <v>45.702499999999873</v>
      </c>
      <c r="K130" s="6">
        <f t="shared" si="29"/>
        <v>0.38</v>
      </c>
      <c r="L130" s="6">
        <f>'主翼(平面形結果)'!O287</f>
        <v>59.280833560550903</v>
      </c>
      <c r="M130" s="196">
        <f t="shared" si="44"/>
        <v>12.990333560551029</v>
      </c>
      <c r="N130" s="273">
        <v>3.5405008539791183</v>
      </c>
      <c r="O130" s="196">
        <v>224674.49905566234</v>
      </c>
      <c r="P130" s="196">
        <v>3.1222071944012346</v>
      </c>
      <c r="Q130" s="196">
        <v>6.5049379718952763E-2</v>
      </c>
      <c r="R130" s="196">
        <v>-0.14109966521506956</v>
      </c>
      <c r="S130" s="196">
        <v>-3.6930142690358436E-3</v>
      </c>
      <c r="T130" s="196">
        <v>0.79786018116666979</v>
      </c>
      <c r="U130" s="196">
        <v>1.0175609710682015E-2</v>
      </c>
      <c r="V130" s="196">
        <v>6.4398706030655405E-3</v>
      </c>
      <c r="W130" s="196">
        <v>-8.1930389596109598E-2</v>
      </c>
      <c r="X130" s="196">
        <v>-2.1443714794426305E-3</v>
      </c>
      <c r="Y130" s="196">
        <v>0.11046751217750311</v>
      </c>
      <c r="Z130" s="196">
        <v>7.0387609940972262E-4</v>
      </c>
      <c r="AA130" s="196">
        <v>1.6678862766251472</v>
      </c>
      <c r="AB130" s="196">
        <v>7.5395502923184782E-2</v>
      </c>
      <c r="AC130" s="196">
        <v>0.45471088617885241</v>
      </c>
      <c r="AD130" s="181" t="str">
        <f t="shared" si="30"/>
        <v>QX0126.dat</v>
      </c>
      <c r="AE130" s="6">
        <f t="shared" si="47"/>
        <v>100</v>
      </c>
      <c r="AF130" s="6" t="str">
        <f t="shared" si="31"/>
        <v>QX0126.dat</v>
      </c>
      <c r="AG130" s="6" cm="1">
        <f t="array" ref="AG130">IF(AD130=AF130,0,
  _xlfn.SWITCH(TRUE,
    $C130&lt;$H$7,  ($C130-$H$6)/($H$7-$H$6),
    $C130&lt;$H$8,  ($C130-$H$7)/($H$8-$H$7),
    $C130&lt;$H$9,  ($C130-$H$8)/($H$9-$H$8),
    $C130&lt;$H$10, ($C130-$H$9)/($H$10-$H$9),
    $C130&lt;$H$11, ($C130-$H$10)/($H$11-$H$10),
    $C130&lt;$H$12, ($C130-$H$11)/($H$12-$H$11),
    ($C130-$H$12)/($H$13-$H$12)
  )*100
)</f>
        <v>0</v>
      </c>
      <c r="AH130" s="6">
        <f t="shared" si="32"/>
        <v>0.17259189189189103</v>
      </c>
      <c r="AI130" s="6">
        <f t="shared" si="33"/>
        <v>-0.28159729729729588</v>
      </c>
      <c r="AJ130" s="6">
        <f t="shared" si="34"/>
        <v>12.00075938700463</v>
      </c>
      <c r="AK130" s="6">
        <f t="shared" si="35"/>
        <v>0.46253844995936677</v>
      </c>
      <c r="AL130" s="6">
        <f t="shared" si="36"/>
        <v>2.1116216216216115</v>
      </c>
      <c r="AM130" s="30">
        <f t="shared" si="37"/>
        <v>6</v>
      </c>
      <c r="AN130" s="198">
        <v>2.4927106063991102</v>
      </c>
      <c r="AO130" s="196">
        <v>12.386007122168531</v>
      </c>
      <c r="AP130" s="196">
        <v>11.924397005429137</v>
      </c>
      <c r="AQ130" s="196">
        <v>1.2159184199902531</v>
      </c>
      <c r="AR130" s="196">
        <v>0.74259525355153133</v>
      </c>
      <c r="AS130" s="196">
        <v>-9.7204694997021099E-2</v>
      </c>
      <c r="AT130" s="196">
        <f t="shared" si="38"/>
        <v>0</v>
      </c>
      <c r="AU130" s="196">
        <f t="shared" si="39"/>
        <v>0</v>
      </c>
      <c r="AV130" s="196">
        <f t="shared" si="40"/>
        <v>0</v>
      </c>
      <c r="AW130" s="196">
        <f t="shared" si="45"/>
        <v>0</v>
      </c>
      <c r="AX130" s="198">
        <f t="shared" si="46"/>
        <v>0</v>
      </c>
      <c r="AY130" s="164"/>
      <c r="AZ130" s="23"/>
      <c r="BA130" s="23"/>
      <c r="BB130" s="23"/>
      <c r="BC130" s="23"/>
      <c r="BD130" s="23"/>
      <c r="BE130" s="23"/>
      <c r="BF130" s="23"/>
      <c r="BG130" s="23"/>
      <c r="BH130" s="23"/>
      <c r="BI130" s="23"/>
      <c r="BJ130" s="23"/>
      <c r="BK130" s="23"/>
      <c r="BL130" s="23"/>
      <c r="BM130" s="23"/>
      <c r="BN130" s="23"/>
    </row>
    <row r="131" spans="1:66">
      <c r="A131" s="23">
        <f t="shared" si="41"/>
        <v>0.14038262910798247</v>
      </c>
      <c r="B131" s="100">
        <v>80</v>
      </c>
      <c r="C131" s="6">
        <f t="shared" si="42"/>
        <v>12.200000000000015</v>
      </c>
      <c r="D131" s="6">
        <f t="shared" si="28"/>
        <v>425.99999999999528</v>
      </c>
      <c r="E131" s="87">
        <v>0.15</v>
      </c>
      <c r="F131" s="87" t="str">
        <f t="shared" si="43"/>
        <v>6th</v>
      </c>
      <c r="G131" s="87" t="str" cm="1">
        <f t="array" ref="G131">_xlfn.SWITCH(TRUE,
  OR(C131=$F$46, C131=$G$46, C131=$H$46, C131=$I$46), "端リブ",
  C131&lt;$F$46, "0番",
  C131&lt;$G$46, "1番",
  C131&lt;$H$46, "2番",
  C131&lt;$I$46, "3番",
  C131&lt;$J$46, "4番",
  "ウィングレット"
)</f>
        <v>端リブ</v>
      </c>
      <c r="H131" s="229" t="s">
        <v>756</v>
      </c>
      <c r="I131" s="6">
        <f>'主翼(桁)'!F125*2</f>
        <v>44.802999999999862</v>
      </c>
      <c r="J131" s="6">
        <f>'主翼(桁)'!G125*2</f>
        <v>44.214999999999861</v>
      </c>
      <c r="K131" s="6">
        <f t="shared" si="29"/>
        <v>0.38</v>
      </c>
      <c r="L131" s="6">
        <f>'主翼(平面形結果)'!O288</f>
        <v>55.60157682721826</v>
      </c>
      <c r="M131" s="196">
        <f t="shared" si="44"/>
        <v>10.798576827218398</v>
      </c>
      <c r="N131" s="273">
        <v>3.5266699834966673</v>
      </c>
      <c r="O131" s="196">
        <v>207779.24164210513</v>
      </c>
      <c r="P131" s="196">
        <v>2.4700583917790708</v>
      </c>
      <c r="Q131" s="196">
        <v>5.3189583368080731E-2</v>
      </c>
      <c r="R131" s="196">
        <v>-0.10367778905541769</v>
      </c>
      <c r="S131" s="196">
        <v>-3.1464125100095662E-3</v>
      </c>
      <c r="T131" s="196">
        <v>0.79633202300490757</v>
      </c>
      <c r="U131" s="196">
        <v>1.0518188196989103E-2</v>
      </c>
      <c r="V131" s="196">
        <v>6.6223818275084898E-3</v>
      </c>
      <c r="W131" s="196">
        <v>-8.2125547601434812E-2</v>
      </c>
      <c r="X131" s="196">
        <v>-2.4923453009440683E-3</v>
      </c>
      <c r="Y131" s="196">
        <v>0.1105103125154389</v>
      </c>
      <c r="Z131" s="196">
        <v>7.0700086234795666E-4</v>
      </c>
      <c r="AA131" s="196">
        <v>1.5395088834742368</v>
      </c>
      <c r="AB131" s="196">
        <v>7.7661056877374429E-2</v>
      </c>
      <c r="AC131" s="196">
        <v>0.46837386052027036</v>
      </c>
      <c r="AD131" s="181" t="str">
        <f t="shared" si="30"/>
        <v>QX0126.dat</v>
      </c>
      <c r="AE131" s="6">
        <f t="shared" si="47"/>
        <v>100</v>
      </c>
      <c r="AF131" s="6" t="str">
        <f t="shared" si="31"/>
        <v>QX0126.dat</v>
      </c>
      <c r="AG131" s="6" cm="1">
        <f t="array" ref="AG131">IF(AD131=AF131,0,
  _xlfn.SWITCH(TRUE,
    $C131&lt;$H$7,  ($C131-$H$6)/($H$7-$H$6),
    $C131&lt;$H$8,  ($C131-$H$7)/($H$8-$H$7),
    $C131&lt;$H$9,  ($C131-$H$8)/($H$9-$H$8),
    $C131&lt;$H$10, ($C131-$H$9)/($H$10-$H$9),
    $C131&lt;$H$11, ($C131-$H$10)/($H$11-$H$10),
    $C131&lt;$H$12, ($C131-$H$11)/($H$12-$H$11),
    ($C131-$H$12)/($H$13-$H$12)
  )*100
)</f>
        <v>0</v>
      </c>
      <c r="AH131" s="6">
        <f t="shared" si="32"/>
        <v>0.16187999999999819</v>
      </c>
      <c r="AI131" s="6">
        <f t="shared" si="33"/>
        <v>-0.26411999999999708</v>
      </c>
      <c r="AJ131" s="6">
        <f t="shared" si="34"/>
        <v>12.174800718694078</v>
      </c>
      <c r="AK131" s="6">
        <f t="shared" si="35"/>
        <v>0.48083093103120611</v>
      </c>
      <c r="AL131" s="6">
        <f t="shared" si="36"/>
        <v>1.999999999999996</v>
      </c>
      <c r="AM131" s="30">
        <f t="shared" si="37"/>
        <v>6</v>
      </c>
      <c r="AN131" s="198">
        <v>2.4925445113860696</v>
      </c>
      <c r="AO131" s="196">
        <v>12.400100966112918</v>
      </c>
      <c r="AP131" s="196">
        <v>12.095323826573441</v>
      </c>
      <c r="AQ131" s="196">
        <v>1.2534553593101192</v>
      </c>
      <c r="AR131" s="196">
        <v>0.76207223562199733</v>
      </c>
      <c r="AS131" s="196">
        <v>-9.7395894270160335E-2</v>
      </c>
      <c r="AT131" s="196">
        <f t="shared" si="38"/>
        <v>0</v>
      </c>
      <c r="AU131" s="196">
        <f t="shared" si="39"/>
        <v>0</v>
      </c>
      <c r="AV131" s="196">
        <f t="shared" si="40"/>
        <v>0</v>
      </c>
      <c r="AW131" s="196">
        <f t="shared" si="45"/>
        <v>0</v>
      </c>
      <c r="AX131" s="198">
        <f t="shared" si="46"/>
        <v>0</v>
      </c>
      <c r="AY131" s="164"/>
      <c r="AZ131" s="23"/>
      <c r="BA131" s="23"/>
      <c r="BB131" s="23"/>
      <c r="BC131" s="23"/>
      <c r="BD131" s="23"/>
      <c r="BE131" s="23"/>
      <c r="BF131" s="23"/>
      <c r="BG131" s="23"/>
      <c r="BH131" s="23"/>
      <c r="BI131" s="23"/>
      <c r="BJ131" s="23"/>
      <c r="BK131" s="23"/>
      <c r="BL131" s="23"/>
      <c r="BM131" s="23"/>
      <c r="BN131" s="23"/>
    </row>
    <row r="132" spans="1:66">
      <c r="A132" s="23">
        <f t="shared" si="41"/>
        <v>0.15140280857354166</v>
      </c>
      <c r="B132" s="100">
        <v>81</v>
      </c>
      <c r="C132" s="6">
        <f t="shared" si="42"/>
        <v>12.350000000000016</v>
      </c>
      <c r="D132" s="6">
        <f t="shared" si="28"/>
        <v>386.57142857142412</v>
      </c>
      <c r="E132" s="87">
        <v>0.15</v>
      </c>
      <c r="F132" s="87" t="str">
        <f t="shared" si="43"/>
        <v>6th</v>
      </c>
      <c r="G132" s="87" t="str" cm="1">
        <f t="array" ref="G132">_xlfn.SWITCH(TRUE,
  OR(C132=$F$46, C132=$G$46, C132=$H$46, C132=$I$46), "端リブ",
  C132&lt;$F$46, "0番",
  C132&lt;$G$46, "1番",
  C132&lt;$H$46, "2番",
  C132&lt;$I$46, "3番",
  C132&lt;$J$46, "4番",
  "ウィングレット"
)</f>
        <v>ウィングレット</v>
      </c>
      <c r="H132" s="229" t="s">
        <v>756</v>
      </c>
      <c r="I132" s="6">
        <f>'主翼(桁)'!F126*2</f>
        <v>43.527999999999857</v>
      </c>
      <c r="J132" s="6">
        <f>'主翼(桁)'!G126*2</f>
        <v>42.939999999999856</v>
      </c>
      <c r="K132" s="6">
        <f t="shared" si="29"/>
        <v>0.38</v>
      </c>
      <c r="L132" s="6">
        <f>'主翼(平面形結果)'!O289</f>
        <v>50.641811758123694</v>
      </c>
      <c r="M132" s="196">
        <f t="shared" si="44"/>
        <v>7.1138117581238376</v>
      </c>
      <c r="N132" s="273">
        <v>3.5481731180287159</v>
      </c>
      <c r="O132" s="196">
        <v>188379.70556741249</v>
      </c>
      <c r="P132" s="196">
        <v>2.2460385617726941</v>
      </c>
      <c r="Q132" s="196">
        <v>4.8764857157522393E-2</v>
      </c>
      <c r="R132" s="196">
        <v>-8.547161197892883E-2</v>
      </c>
      <c r="S132" s="196">
        <v>-2.59278904951639E-3</v>
      </c>
      <c r="T132" s="196">
        <v>0.79870762559916075</v>
      </c>
      <c r="U132" s="196">
        <v>1.1000107320447483E-2</v>
      </c>
      <c r="V132" s="196">
        <v>6.333500973791162E-3</v>
      </c>
      <c r="W132" s="196">
        <v>-8.2369447160181797E-2</v>
      </c>
      <c r="X132" s="196">
        <v>-2.4986846002657409E-3</v>
      </c>
      <c r="Y132" s="196">
        <v>0.1104436481848825</v>
      </c>
      <c r="Z132" s="196">
        <v>7.2833659142234686E-4</v>
      </c>
      <c r="AA132" s="196">
        <v>1.3999347907689299</v>
      </c>
      <c r="AB132" s="196">
        <v>7.4077259084944988E-2</v>
      </c>
      <c r="AC132" s="196">
        <v>0.4467608720770691</v>
      </c>
      <c r="AD132" s="181" t="str">
        <f t="shared" si="30"/>
        <v>QX0126.dat</v>
      </c>
      <c r="AE132" s="6">
        <f t="shared" si="47"/>
        <v>100</v>
      </c>
      <c r="AF132" s="6" t="str">
        <f t="shared" si="31"/>
        <v>QX0126.dat</v>
      </c>
      <c r="AG132" s="6" cm="1">
        <f t="array" ref="AG132">IF(AD132=AF132,0,
  _xlfn.SWITCH(TRUE,
    $C132&lt;$H$7,  ($C132-$H$6)/($H$7-$H$6),
    $C132&lt;$H$8,  ($C132-$H$7)/($H$8-$H$7),
    $C132&lt;$H$9,  ($C132-$H$8)/($H$9-$H$8),
    $C132&lt;$H$10, ($C132-$H$9)/($H$10-$H$9),
    $C132&lt;$H$11, ($C132-$H$10)/($H$11-$H$10),
    $C132&lt;$H$12, ($C132-$H$11)/($H$12-$H$11),
    ($C132-$H$12)/($H$13-$H$12)
  )*100
)</f>
        <v>0</v>
      </c>
      <c r="AH132" s="6">
        <f t="shared" si="32"/>
        <v>0.14689714285714117</v>
      </c>
      <c r="AI132" s="6">
        <f t="shared" si="33"/>
        <v>-0.23967428571428295</v>
      </c>
      <c r="AJ132" s="6">
        <f t="shared" si="34"/>
        <v>12.323979002999319</v>
      </c>
      <c r="AK132" s="6">
        <f t="shared" si="35"/>
        <v>0.49651020052135414</v>
      </c>
      <c r="AL132" s="6">
        <f t="shared" si="36"/>
        <v>1.9571428571428533</v>
      </c>
      <c r="AM132" s="30">
        <f t="shared" si="37"/>
        <v>6</v>
      </c>
      <c r="AN132" s="198">
        <v>2.4924144725492505</v>
      </c>
      <c r="AO132" s="196">
        <v>12.409469389460394</v>
      </c>
      <c r="AP132" s="196">
        <v>12.241824611562636</v>
      </c>
      <c r="AQ132" s="196">
        <v>1.2856659165476085</v>
      </c>
      <c r="AR132" s="196">
        <v>0.77881165703187671</v>
      </c>
      <c r="AS132" s="196">
        <v>-9.7537143406090543E-2</v>
      </c>
      <c r="AT132" s="196">
        <f t="shared" si="38"/>
        <v>0</v>
      </c>
      <c r="AU132" s="196">
        <f t="shared" si="39"/>
        <v>0</v>
      </c>
      <c r="AV132" s="196">
        <f t="shared" si="40"/>
        <v>0</v>
      </c>
      <c r="AW132" s="196">
        <f t="shared" si="45"/>
        <v>0</v>
      </c>
      <c r="AX132" s="198">
        <f t="shared" si="46"/>
        <v>0</v>
      </c>
      <c r="AY132" s="164"/>
      <c r="AZ132" s="23"/>
      <c r="BA132" s="23"/>
      <c r="BB132" s="23"/>
      <c r="BC132" s="23"/>
      <c r="BD132" s="23"/>
      <c r="BE132" s="23"/>
      <c r="BF132" s="23"/>
      <c r="BG132" s="23"/>
      <c r="BH132" s="23"/>
      <c r="BI132" s="23"/>
      <c r="BJ132" s="23"/>
      <c r="BK132" s="23"/>
      <c r="BL132" s="23"/>
      <c r="BM132" s="23"/>
      <c r="BN132" s="23"/>
    </row>
    <row r="133" spans="1:66">
      <c r="A133" s="23">
        <f t="shared" si="41"/>
        <v>0.16492633744856142</v>
      </c>
      <c r="B133" s="100">
        <v>82</v>
      </c>
      <c r="C133" s="6">
        <f t="shared" si="42"/>
        <v>12.500000000000016</v>
      </c>
      <c r="D133" s="6">
        <f t="shared" si="28"/>
        <v>347.14285714285256</v>
      </c>
      <c r="E133" s="87">
        <v>0.15</v>
      </c>
      <c r="F133" s="87" t="str">
        <f t="shared" si="43"/>
        <v>6th</v>
      </c>
      <c r="G133" s="87" t="str" cm="1">
        <f t="array" ref="G133">_xlfn.SWITCH(TRUE,
  OR(C133=$F$46, C133=$G$46, C133=$H$46, C133=$I$46), "端リブ",
  C133&lt;$F$46, "0番",
  C133&lt;$G$46, "1番",
  C133&lt;$H$46, "2番",
  C133&lt;$I$46, "3番",
  C133&lt;$J$46, "4番",
  "ウィングレット"
)</f>
        <v>ウィングレット</v>
      </c>
      <c r="H133" s="229" t="s">
        <v>756</v>
      </c>
      <c r="I133" s="6">
        <f>'主翼(桁)'!F127*2</f>
        <v>42.252999999999851</v>
      </c>
      <c r="J133" s="6">
        <f>'主翼(桁)'!G127*2</f>
        <v>41.66499999999985</v>
      </c>
      <c r="K133" s="6">
        <f t="shared" si="29"/>
        <v>0.38</v>
      </c>
      <c r="L133" s="6">
        <f>'主翼(平面形結果)'!O290</f>
        <v>45.682046689029185</v>
      </c>
      <c r="M133" s="196">
        <f t="shared" si="44"/>
        <v>3.4290466890293345</v>
      </c>
      <c r="N133" s="273">
        <v>3.5636797156905393</v>
      </c>
      <c r="O133" s="196">
        <v>165917.08484934724</v>
      </c>
      <c r="P133" s="196">
        <v>1.9824111483106517</v>
      </c>
      <c r="Q133" s="196">
        <v>3.8800539729992145E-2</v>
      </c>
      <c r="R133" s="196">
        <v>-6.6621866334829694E-2</v>
      </c>
      <c r="S133" s="196">
        <v>-2.1935040147334018E-3</v>
      </c>
      <c r="T133" s="196">
        <v>0.80041985525820925</v>
      </c>
      <c r="U133" s="196">
        <v>1.1656655184516737E-2</v>
      </c>
      <c r="V133" s="196">
        <v>4.0016443418974135E-3</v>
      </c>
      <c r="W133" s="196">
        <v>-8.276706513789972E-2</v>
      </c>
      <c r="X133" s="196">
        <v>-2.7250796120788096E-3</v>
      </c>
      <c r="Y133" s="196">
        <v>0.11039515049498053</v>
      </c>
      <c r="Z133" s="196">
        <v>7.5091376746453655E-4</v>
      </c>
      <c r="AA133" s="196">
        <v>1.2356481515548627</v>
      </c>
      <c r="AB133" s="196">
        <v>4.6899252796192191E-2</v>
      </c>
      <c r="AC133" s="196">
        <v>0.28285341241563422</v>
      </c>
      <c r="AD133" s="181" t="str">
        <f t="shared" si="30"/>
        <v>QX0126.dat</v>
      </c>
      <c r="AE133" s="6">
        <f t="shared" si="47"/>
        <v>100</v>
      </c>
      <c r="AF133" s="6" t="str">
        <f t="shared" si="31"/>
        <v>QX0126.dat</v>
      </c>
      <c r="AG133" s="6" cm="1">
        <f t="array" ref="AG133">IF(AD133=AF133,0,
  _xlfn.SWITCH(TRUE,
    $C133&lt;$H$7,  ($C133-$H$6)/($H$7-$H$6),
    $C133&lt;$H$8,  ($C133-$H$7)/($H$8-$H$7),
    $C133&lt;$H$9,  ($C133-$H$8)/($H$9-$H$8),
    $C133&lt;$H$10, ($C133-$H$9)/($H$10-$H$9),
    $C133&lt;$H$11, ($C133-$H$10)/($H$11-$H$10),
    $C133&lt;$H$12, ($C133-$H$11)/($H$12-$H$11),
    ($C133-$H$12)/($H$13-$H$12)
  )*100
)</f>
        <v>0</v>
      </c>
      <c r="AH133" s="6">
        <f t="shared" si="32"/>
        <v>0.13191428571428399</v>
      </c>
      <c r="AI133" s="6">
        <f t="shared" si="33"/>
        <v>-0.2152285714285686</v>
      </c>
      <c r="AJ133" s="6">
        <f t="shared" si="34"/>
        <v>12.473157287304561</v>
      </c>
      <c r="AK133" s="6">
        <f t="shared" si="35"/>
        <v>0.51218947001150217</v>
      </c>
      <c r="AL133" s="6">
        <f t="shared" si="36"/>
        <v>1.9142857142857101</v>
      </c>
      <c r="AM133" s="30">
        <f t="shared" si="37"/>
        <v>6</v>
      </c>
      <c r="AN133" s="198">
        <v>2.3439725657448549</v>
      </c>
      <c r="AO133" s="196">
        <v>12.415759754430464</v>
      </c>
      <c r="AP133" s="196">
        <v>12.388320127850633</v>
      </c>
      <c r="AQ133" s="196">
        <v>1.3179004276733166</v>
      </c>
      <c r="AR133" s="196">
        <v>0.79558000114468641</v>
      </c>
      <c r="AS133" s="196">
        <v>-9.7656161574955894E-2</v>
      </c>
      <c r="AT133" s="196">
        <f t="shared" si="38"/>
        <v>0</v>
      </c>
      <c r="AU133" s="196">
        <f t="shared" si="39"/>
        <v>0</v>
      </c>
      <c r="AV133" s="196">
        <f t="shared" si="40"/>
        <v>0</v>
      </c>
      <c r="AW133" s="196">
        <f t="shared" si="45"/>
        <v>0</v>
      </c>
      <c r="AX133" s="198">
        <f t="shared" si="46"/>
        <v>0</v>
      </c>
      <c r="AY133" s="164"/>
      <c r="AZ133" s="23"/>
      <c r="BA133" s="23"/>
      <c r="BB133" s="23"/>
      <c r="BC133" s="23"/>
      <c r="BD133" s="23"/>
      <c r="BE133" s="23"/>
      <c r="BF133" s="23"/>
      <c r="BG133" s="23"/>
      <c r="BH133" s="23"/>
      <c r="BI133" s="23"/>
      <c r="BJ133" s="23"/>
      <c r="BK133" s="23"/>
      <c r="BL133" s="23"/>
      <c r="BM133" s="23"/>
      <c r="BN133" s="23"/>
    </row>
    <row r="134" spans="1:66">
      <c r="A134" s="23">
        <f t="shared" si="41"/>
        <v>0.18191550603528556</v>
      </c>
      <c r="B134" s="100">
        <v>83</v>
      </c>
      <c r="C134" s="6">
        <f t="shared" si="42"/>
        <v>12.650000000000016</v>
      </c>
      <c r="D134" s="6">
        <f t="shared" si="28"/>
        <v>307.71428571428095</v>
      </c>
      <c r="E134" s="87">
        <v>0.15</v>
      </c>
      <c r="F134" s="87" t="str">
        <f t="shared" si="43"/>
        <v>6th</v>
      </c>
      <c r="G134" s="87" t="str" cm="1">
        <f t="array" ref="G134">_xlfn.SWITCH(TRUE,
  OR(C134=$F$46, C134=$G$46, C134=$H$46, C134=$I$46), "端リブ",
  C134&lt;$F$46, "0番",
  C134&lt;$G$46, "1番",
  C134&lt;$H$46, "2番",
  C134&lt;$I$46, "3番",
  C134&lt;$J$46, "4番",
  "ウィングレット"
)</f>
        <v>ウィングレット</v>
      </c>
      <c r="H134" s="229" t="s">
        <v>756</v>
      </c>
      <c r="I134" s="6">
        <f>'主翼(桁)'!F128*2</f>
        <v>40.977999999999859</v>
      </c>
      <c r="J134" s="6">
        <f>'主翼(桁)'!G128*2</f>
        <v>40.389999999999858</v>
      </c>
      <c r="K134" s="6">
        <f t="shared" si="29"/>
        <v>0.38</v>
      </c>
      <c r="L134" s="6">
        <f>'主翼(平面形結果)'!O291</f>
        <v>39.156040019167904</v>
      </c>
      <c r="M134" s="196">
        <f t="shared" si="44"/>
        <v>-1.8219599808319558</v>
      </c>
      <c r="N134" s="273">
        <v>3.586170352425758</v>
      </c>
      <c r="O134" s="196">
        <v>140391.37948790914</v>
      </c>
      <c r="P134" s="196">
        <v>1.6826022712199382</v>
      </c>
      <c r="Q134" s="196">
        <v>2.5216911101597149E-2</v>
      </c>
      <c r="R134" s="196">
        <v>-4.8065386005370761E-2</v>
      </c>
      <c r="S134" s="196">
        <v>-1.793823546822405E-3</v>
      </c>
      <c r="T134" s="196">
        <v>0.80290191577568992</v>
      </c>
      <c r="U134" s="196">
        <v>1.2591903332885138E-2</v>
      </c>
      <c r="V134" s="196">
        <v>-5.673520866353376E-4</v>
      </c>
      <c r="W134" s="196">
        <v>-8.3402825527627372E-2</v>
      </c>
      <c r="X134" s="196">
        <v>-3.1126339500583966E-3</v>
      </c>
      <c r="Y134" s="196">
        <v>0.11032417752061836</v>
      </c>
      <c r="Z134" s="196">
        <v>7.8242014990169374E-4</v>
      </c>
      <c r="AA134" s="196">
        <v>1.0487906274819963</v>
      </c>
      <c r="AB134" s="196">
        <v>-6.0223170531924402E-3</v>
      </c>
      <c r="AC134" s="196">
        <v>-3.6321400401683857E-2</v>
      </c>
      <c r="AD134" s="181" t="str">
        <f t="shared" si="30"/>
        <v>QX0126.dat</v>
      </c>
      <c r="AE134" s="6">
        <f>100-AG134</f>
        <v>100</v>
      </c>
      <c r="AF134" s="6" t="str">
        <f t="shared" si="31"/>
        <v>QX0126.dat</v>
      </c>
      <c r="AG134" s="6" cm="1">
        <f t="array" ref="AG134">IF(AD134=AF134,0,
  _xlfn.SWITCH(TRUE,
    $C134&lt;$H$7,  ($C134-$H$6)/($H$7-$H$6),
    $C134&lt;$H$8,  ($C134-$H$7)/($H$8-$H$7),
    $C134&lt;$H$9,  ($C134-$H$8)/($H$9-$H$8),
    $C134&lt;$H$10, ($C134-$H$9)/($H$10-$H$9),
    $C134&lt;$H$11, ($C134-$H$10)/($H$11-$H$10),
    $C134&lt;$H$12, ($C134-$H$11)/($H$12-$H$11),
    ($C134-$H$12)/($H$13-$H$12)
  )*100
)</f>
        <v>0</v>
      </c>
      <c r="AH134" s="6">
        <f t="shared" si="32"/>
        <v>0.11693142857142677</v>
      </c>
      <c r="AI134" s="6">
        <f t="shared" si="33"/>
        <v>-0.19078285714285417</v>
      </c>
      <c r="AJ134" s="6">
        <f t="shared" si="34"/>
        <v>12.622335571609803</v>
      </c>
      <c r="AK134" s="6">
        <f t="shared" si="35"/>
        <v>0.52786873950165014</v>
      </c>
      <c r="AL134" s="6">
        <f t="shared" si="36"/>
        <v>1.8714285714285674</v>
      </c>
      <c r="AM134" s="30">
        <f t="shared" si="37"/>
        <v>6</v>
      </c>
      <c r="AN134" s="198">
        <v>2.0472179029796194</v>
      </c>
      <c r="AO134" s="196">
        <v>12.419495153641439</v>
      </c>
      <c r="AP134" s="196">
        <v>12.534812104306793</v>
      </c>
      <c r="AQ134" s="196">
        <v>1.3501510219929227</v>
      </c>
      <c r="AR134" s="196">
        <v>0.81236847069689611</v>
      </c>
      <c r="AS134" s="196">
        <v>-9.7754432651121492E-2</v>
      </c>
      <c r="AT134" s="196"/>
      <c r="AU134" s="196"/>
      <c r="AV134" s="196"/>
      <c r="AW134" s="196"/>
      <c r="AX134" s="198"/>
      <c r="AY134" s="164"/>
      <c r="AZ134" s="23"/>
      <c r="BA134" s="23"/>
      <c r="BB134" s="23"/>
      <c r="BC134" s="23"/>
      <c r="BD134" s="23"/>
      <c r="BE134" s="23"/>
      <c r="BF134" s="23"/>
      <c r="BG134" s="23"/>
      <c r="BH134" s="23"/>
      <c r="BI134" s="23"/>
      <c r="BJ134" s="23"/>
      <c r="BK134" s="23"/>
      <c r="BL134" s="23"/>
      <c r="BM134" s="23"/>
      <c r="BN134" s="23"/>
    </row>
    <row r="135" spans="1:66">
      <c r="A135" s="23">
        <f t="shared" si="41"/>
        <v>0.20389829605964113</v>
      </c>
      <c r="B135" s="100">
        <v>84</v>
      </c>
      <c r="C135" s="6">
        <f t="shared" si="42"/>
        <v>12.800000000000017</v>
      </c>
      <c r="D135" s="6">
        <f t="shared" si="28"/>
        <v>268.28571428570933</v>
      </c>
      <c r="E135" s="87">
        <v>0.15</v>
      </c>
      <c r="F135" s="87" t="str">
        <f t="shared" si="43"/>
        <v>6th</v>
      </c>
      <c r="G135" s="87" t="str" cm="1">
        <f t="array" ref="G135">_xlfn.SWITCH(TRUE,
  OR(C135=$F$46, C135=$G$46, C135=$H$46, C135=$I$46), "端リブ",
  C135&lt;$F$46, "0番",
  C135&lt;$G$46, "1番",
  C135&lt;$H$46, "2番",
  C135&lt;$I$46, "3番",
  C135&lt;$J$46, "4番",
  "ウィングレット"
)</f>
        <v>ウィングレット</v>
      </c>
      <c r="H135" s="229" t="s">
        <v>756</v>
      </c>
      <c r="I135" s="6">
        <f>'主翼(桁)'!F129*2</f>
        <v>39.702999999999854</v>
      </c>
      <c r="J135" s="6">
        <f>'主翼(桁)'!G129*2</f>
        <v>39.114999999999853</v>
      </c>
      <c r="K135" s="6">
        <f t="shared" si="29"/>
        <v>0.38</v>
      </c>
      <c r="L135" s="6">
        <f>'主翼(平面形結果)'!O292</f>
        <v>32.630033349306508</v>
      </c>
      <c r="M135" s="196">
        <f t="shared" si="44"/>
        <v>-7.0729666506933455</v>
      </c>
      <c r="N135" s="273">
        <v>3.5816272868161914</v>
      </c>
      <c r="O135" s="196">
        <v>114865.6741264709</v>
      </c>
      <c r="P135" s="196">
        <v>1.358060766175919</v>
      </c>
      <c r="Q135" s="196">
        <v>1.520293838209732E-2</v>
      </c>
      <c r="R135" s="196">
        <v>-3.2136136535754527E-2</v>
      </c>
      <c r="S135" s="196">
        <v>-1.5797692967963746E-3</v>
      </c>
      <c r="T135" s="196">
        <v>0.8024006730845169</v>
      </c>
      <c r="U135" s="196">
        <v>1.3793355257279968E-2</v>
      </c>
      <c r="V135" s="196">
        <v>-4.8197721762914397E-3</v>
      </c>
      <c r="W135" s="196">
        <v>-8.4388492208423149E-2</v>
      </c>
      <c r="X135" s="196">
        <v>-4.1484248999714701E-3</v>
      </c>
      <c r="Y135" s="196">
        <v>0.11033857431638516</v>
      </c>
      <c r="Z135" s="196">
        <v>8.0508369595952032E-4</v>
      </c>
      <c r="AA135" s="196">
        <v>0.85756571935907699</v>
      </c>
      <c r="AB135" s="196">
        <v>-5.4464075062919948E-2</v>
      </c>
      <c r="AC135" s="196">
        <v>-0.32847657347448017</v>
      </c>
      <c r="AD135" s="181" t="str">
        <f t="shared" si="30"/>
        <v>QX0126.dat</v>
      </c>
      <c r="AE135" s="6">
        <f>100-AG135</f>
        <v>100</v>
      </c>
      <c r="AF135" s="6" t="str">
        <f t="shared" si="31"/>
        <v>QX0126.dat</v>
      </c>
      <c r="AG135" s="6" cm="1">
        <f t="array" ref="AG135">IF(AD135=AF135,0,
  _xlfn.SWITCH(TRUE,
    $C135&lt;$H$7,  ($C135-$H$6)/($H$7-$H$6),
    $C135&lt;$H$8,  ($C135-$H$7)/($H$8-$H$7),
    $C135&lt;$H$9,  ($C135-$H$8)/($H$9-$H$8),
    $C135&lt;$H$10, ($C135-$H$9)/($H$10-$H$9),
    $C135&lt;$H$11, ($C135-$H$10)/($H$11-$H$10),
    $C135&lt;$H$12, ($C135-$H$11)/($H$12-$H$11),
    ($C135-$H$12)/($H$13-$H$12)
  )*100
)</f>
        <v>0</v>
      </c>
      <c r="AH135" s="6">
        <f t="shared" si="32"/>
        <v>0.10194857142856956</v>
      </c>
      <c r="AI135" s="6">
        <f t="shared" si="33"/>
        <v>-0.1663371428571398</v>
      </c>
      <c r="AJ135" s="6">
        <f t="shared" si="34"/>
        <v>12.771513855915044</v>
      </c>
      <c r="AK135" s="6">
        <f t="shared" si="35"/>
        <v>0.54354800899179812</v>
      </c>
      <c r="AL135" s="6">
        <f t="shared" si="36"/>
        <v>1.8285714285714243</v>
      </c>
      <c r="AM135" s="30">
        <f t="shared" si="37"/>
        <v>6</v>
      </c>
      <c r="AN135" s="198">
        <v>1.7504810672141045</v>
      </c>
      <c r="AO135" s="196">
        <v>15.421322271139548</v>
      </c>
      <c r="AP135" s="196">
        <v>12.681301977873646</v>
      </c>
      <c r="AQ135" s="196">
        <v>1.3824111667906014</v>
      </c>
      <c r="AR135" s="196">
        <v>0.82916974780794317</v>
      </c>
      <c r="AS135" s="196">
        <v>-9.783225057548689E-2</v>
      </c>
      <c r="AT135" s="196"/>
      <c r="AU135" s="196"/>
      <c r="AV135" s="196"/>
      <c r="AW135" s="196"/>
      <c r="AX135" s="198"/>
      <c r="AY135" s="164"/>
      <c r="AZ135" s="23"/>
      <c r="BA135" s="23"/>
      <c r="BB135" s="23"/>
      <c r="BC135" s="23"/>
      <c r="BD135" s="23"/>
      <c r="BE135" s="23"/>
      <c r="BF135" s="23"/>
      <c r="BG135" s="23"/>
      <c r="BH135" s="23"/>
      <c r="BI135" s="23"/>
      <c r="BJ135" s="23"/>
      <c r="BK135" s="23"/>
      <c r="BL135" s="23"/>
      <c r="BM135" s="23"/>
      <c r="BN135" s="23"/>
    </row>
    <row r="136" spans="1:66">
      <c r="A136" s="23">
        <f t="shared" si="41"/>
        <v>0.23345568039950471</v>
      </c>
      <c r="B136" s="100">
        <v>85</v>
      </c>
      <c r="C136" s="6">
        <f t="shared" si="42"/>
        <v>12.950000000000017</v>
      </c>
      <c r="D136" s="6">
        <f t="shared" si="28"/>
        <v>228.8571428571382</v>
      </c>
      <c r="E136" s="87">
        <v>0.15</v>
      </c>
      <c r="F136" s="87" t="str">
        <f t="shared" si="43"/>
        <v>6th</v>
      </c>
      <c r="G136" s="87" t="str" cm="1">
        <f t="array" ref="G136">_xlfn.SWITCH(TRUE,
  OR(C136=$F$46, C136=$G$46, C136=$H$46, C136=$I$46), "端リブ",
  C136&lt;$F$46, "0番",
  C136&lt;$G$46, "1番",
  C136&lt;$H$46, "2番",
  C136&lt;$I$46, "3番",
  C136&lt;$J$46, "4番",
  "ウィングレット"
)</f>
        <v>ウィングレット</v>
      </c>
      <c r="H136" s="229" t="s">
        <v>756</v>
      </c>
      <c r="I136" s="6">
        <f>'主翼(桁)'!F130*2</f>
        <v>38.427999999999848</v>
      </c>
      <c r="J136" s="6">
        <f>'主翼(桁)'!G130*2</f>
        <v>37.839999999999847</v>
      </c>
      <c r="K136" s="6">
        <f t="shared" si="29"/>
        <v>0.38</v>
      </c>
      <c r="L136" s="6">
        <f>'主翼(平面形結果)'!O293</f>
        <v>26.104026679445177</v>
      </c>
      <c r="M136" s="196">
        <f t="shared" si="44"/>
        <v>-12.323973320554671</v>
      </c>
      <c r="N136" s="273">
        <v>3.2949135351313821</v>
      </c>
      <c r="O136" s="196">
        <v>95721.395105392352</v>
      </c>
      <c r="P136" s="196">
        <v>1.0697373205938465</v>
      </c>
      <c r="Q136" s="196">
        <v>1.6705761432580304E-2</v>
      </c>
      <c r="R136" s="196">
        <v>-2.2368970036168608E-2</v>
      </c>
      <c r="S136" s="196">
        <v>-2.3113952750340124E-3</v>
      </c>
      <c r="T136" s="196">
        <v>0.77064075658665787</v>
      </c>
      <c r="U136" s="196">
        <v>1.4768433004496123E-2</v>
      </c>
      <c r="V136" s="196">
        <v>-2.7414493617755158E-3</v>
      </c>
      <c r="W136" s="196">
        <v>-8.5944787433324399E-2</v>
      </c>
      <c r="X136" s="196">
        <v>-8.8807117746586284E-3</v>
      </c>
      <c r="Y136" s="196">
        <v>0.11118581532203826</v>
      </c>
      <c r="Z136" s="196">
        <v>6.7090552743792132E-4</v>
      </c>
      <c r="AA136" s="196">
        <v>0.68635192383499133</v>
      </c>
      <c r="AB136" s="196">
        <v>-3.1564502437854212E-2</v>
      </c>
      <c r="AC136" s="196">
        <v>-0.19036906495982212</v>
      </c>
      <c r="AD136" s="181" t="str">
        <f t="shared" si="30"/>
        <v>QX0126.dat</v>
      </c>
      <c r="AE136" s="6">
        <f>100-AG136</f>
        <v>100</v>
      </c>
      <c r="AF136" s="6" t="str">
        <f t="shared" si="31"/>
        <v>QX0126.dat</v>
      </c>
      <c r="AG136" s="6" cm="1">
        <f t="array" ref="AG136">IF(AD136=AF136,0,
  _xlfn.SWITCH(TRUE,
    $C136&lt;$H$7,  ($C136-$H$6)/($H$7-$H$6),
    $C136&lt;$H$8,  ($C136-$H$7)/($H$8-$H$7),
    $C136&lt;$H$9,  ($C136-$H$8)/($H$9-$H$8),
    $C136&lt;$H$10, ($C136-$H$9)/($H$10-$H$9),
    $C136&lt;$H$11, ($C136-$H$10)/($H$11-$H$10),
    $C136&lt;$H$12, ($C136-$H$11)/($H$12-$H$11),
    ($C136-$H$12)/($H$13-$H$12)
  )*100
)</f>
        <v>0</v>
      </c>
      <c r="AH136" s="6">
        <f t="shared" si="32"/>
        <v>8.6965714285712523E-2</v>
      </c>
      <c r="AI136" s="6">
        <f t="shared" si="33"/>
        <v>-0.14189142857142567</v>
      </c>
      <c r="AJ136" s="6">
        <f t="shared" si="34"/>
        <v>12.920692140220286</v>
      </c>
      <c r="AK136" s="6">
        <f t="shared" si="35"/>
        <v>0.55922727848194609</v>
      </c>
      <c r="AL136" s="6">
        <f t="shared" si="36"/>
        <v>1.7857142857142816</v>
      </c>
      <c r="AM136" s="30">
        <f t="shared" si="37"/>
        <v>6</v>
      </c>
      <c r="AN136" s="198">
        <v>1.602092947560722</v>
      </c>
      <c r="AO136" s="196">
        <v>18.421998027168065</v>
      </c>
      <c r="AP136" s="196">
        <v>12.825901454734401</v>
      </c>
      <c r="AQ136" s="196">
        <v>1.4222983989783067</v>
      </c>
      <c r="AR136" s="196">
        <v>0.84597777389833217</v>
      </c>
      <c r="AS136" s="196">
        <v>-9.7894829802488884E-2</v>
      </c>
      <c r="AT136" s="196"/>
      <c r="AU136" s="196"/>
      <c r="AV136" s="196"/>
      <c r="AW136" s="196"/>
      <c r="AX136" s="198"/>
      <c r="AY136" s="164"/>
      <c r="AZ136" s="23"/>
      <c r="BA136" s="23"/>
      <c r="BB136" s="23"/>
      <c r="BC136" s="23"/>
      <c r="BD136" s="23"/>
      <c r="BE136" s="23"/>
      <c r="BF136" s="23"/>
      <c r="BG136" s="23"/>
      <c r="BH136" s="23"/>
      <c r="BI136" s="23"/>
      <c r="BJ136" s="23"/>
      <c r="BK136" s="23"/>
      <c r="BL136" s="23"/>
      <c r="BM136" s="23"/>
      <c r="BN136" s="23"/>
    </row>
    <row r="137" spans="1:66">
      <c r="A137" s="23">
        <f t="shared" si="41"/>
        <v>0.2753174962292671</v>
      </c>
      <c r="B137" s="100">
        <v>86</v>
      </c>
      <c r="C137" s="6">
        <f t="shared" si="42"/>
        <v>13.100000000000017</v>
      </c>
      <c r="D137" s="6">
        <f t="shared" si="28"/>
        <v>189.42857142856661</v>
      </c>
      <c r="E137" s="87">
        <v>0.15</v>
      </c>
      <c r="F137" s="87" t="str">
        <f t="shared" si="43"/>
        <v>6th</v>
      </c>
      <c r="G137" s="87" t="str" cm="1">
        <f t="array" ref="G137">_xlfn.SWITCH(TRUE,
  OR(C137=$F$46, C137=$G$46, C137=$H$46, C137=$I$46), "端リブ",
  C137&lt;$F$46, "0番",
  C137&lt;$G$46, "1番",
  C137&lt;$H$46, "2番",
  C137&lt;$I$46, "3番",
  C137&lt;$J$46, "4番",
  "ウィングレット"
)</f>
        <v>ウィングレット</v>
      </c>
      <c r="H137" s="229" t="s">
        <v>756</v>
      </c>
      <c r="I137" s="6">
        <f>'主翼(桁)'!F131*2</f>
        <v>37.152999999999842</v>
      </c>
      <c r="J137" s="6">
        <f>'主翼(桁)'!G131*2</f>
        <v>36.564999999999841</v>
      </c>
      <c r="K137" s="6">
        <f t="shared" si="29"/>
        <v>0.38</v>
      </c>
      <c r="L137" s="6">
        <f>'主翼(平面形結果)'!O294</f>
        <v>22.841023344514532</v>
      </c>
      <c r="M137" s="196">
        <f t="shared" si="44"/>
        <v>-14.31197665548531</v>
      </c>
      <c r="N137" s="273">
        <v>2.3156039902572645</v>
      </c>
      <c r="O137" s="196">
        <v>82958.542424673404</v>
      </c>
      <c r="P137" s="196">
        <v>0.79478972081079124</v>
      </c>
      <c r="Q137" s="196">
        <v>2.9982142585209405E-2</v>
      </c>
      <c r="R137" s="196">
        <v>-1.7337107672082575E-2</v>
      </c>
      <c r="S137" s="196">
        <v>-4.4217747089072288E-3</v>
      </c>
      <c r="T137" s="196">
        <v>0.66065705303709454</v>
      </c>
      <c r="U137" s="196">
        <v>1.5363929844880511E-2</v>
      </c>
      <c r="V137" s="196">
        <v>9.5541437623869255E-3</v>
      </c>
      <c r="W137" s="196">
        <v>-8.8684376124739395E-2</v>
      </c>
      <c r="X137" s="196">
        <v>-2.261867082102996E-2</v>
      </c>
      <c r="Y137" s="196">
        <v>0.11321369160097203</v>
      </c>
      <c r="Z137" s="196">
        <v>1.2678160375105866E-4</v>
      </c>
      <c r="AA137" s="196">
        <v>0.50994466281300699</v>
      </c>
      <c r="AB137" s="196">
        <v>0.13069721813280943</v>
      </c>
      <c r="AC137" s="196">
        <v>0.78820279996252329</v>
      </c>
      <c r="AD137" s="181" t="str">
        <f t="shared" si="30"/>
        <v>QX0126.dat</v>
      </c>
      <c r="AE137" s="6">
        <f>100-AG137</f>
        <v>100</v>
      </c>
      <c r="AF137" s="6" t="str">
        <f t="shared" si="31"/>
        <v>QX0126.dat</v>
      </c>
      <c r="AG137" s="6" cm="1">
        <f t="array" ref="AG137">IF(AD137=AF137,0,
  _xlfn.SWITCH(TRUE,
    $C137&lt;$H$7,  ($C137-$H$6)/($H$7-$H$6),
    $C137&lt;$H$8,  ($C137-$H$7)/($H$8-$H$7),
    $C137&lt;$H$9,  ($C137-$H$8)/($H$9-$H$8),
    $C137&lt;$H$10, ($C137-$H$9)/($H$10-$H$9),
    $C137&lt;$H$11, ($C137-$H$10)/($H$11-$H$10),
    $C137&lt;$H$12, ($C137-$H$11)/($H$12-$H$11),
    ($C137-$H$12)/($H$13-$H$12)
  )*100
)</f>
        <v>0</v>
      </c>
      <c r="AH137" s="6">
        <f t="shared" si="32"/>
        <v>7.1982857142855308E-2</v>
      </c>
      <c r="AI137" s="6">
        <f t="shared" si="33"/>
        <v>-0.11744571428571131</v>
      </c>
      <c r="AJ137" s="6">
        <f t="shared" si="34"/>
        <v>13.069870424525527</v>
      </c>
      <c r="AK137" s="6">
        <f t="shared" si="35"/>
        <v>0.57490654797209406</v>
      </c>
      <c r="AL137" s="6">
        <f t="shared" si="36"/>
        <v>1.7428571428571384</v>
      </c>
      <c r="AM137" s="30">
        <f t="shared" si="37"/>
        <v>6</v>
      </c>
      <c r="AN137" s="198">
        <v>1.6020189502669744</v>
      </c>
      <c r="AO137" s="196">
        <v>18.422434232096375</v>
      </c>
      <c r="AP137" s="196">
        <v>12.968214667541966</v>
      </c>
      <c r="AQ137" s="196">
        <v>1.4697003974634852</v>
      </c>
      <c r="AR137" s="196">
        <v>0.86278861680796193</v>
      </c>
      <c r="AS137" s="196">
        <v>-9.794185531041949E-2</v>
      </c>
      <c r="AT137" s="196"/>
      <c r="AU137" s="196"/>
      <c r="AV137" s="196"/>
      <c r="AW137" s="196"/>
      <c r="AX137" s="198"/>
      <c r="AY137" s="164"/>
      <c r="AZ137" s="23"/>
      <c r="BA137" s="23"/>
      <c r="BB137" s="23"/>
      <c r="BC137" s="23"/>
      <c r="BD137" s="23"/>
      <c r="BE137" s="23"/>
      <c r="BF137" s="23"/>
      <c r="BG137" s="23"/>
      <c r="BH137" s="23"/>
      <c r="BI137" s="23"/>
      <c r="BJ137" s="23"/>
      <c r="BK137" s="23"/>
      <c r="BL137" s="23"/>
      <c r="BM137" s="23"/>
      <c r="BN137" s="23"/>
    </row>
    <row r="138" spans="1:66">
      <c r="A138" s="23">
        <f t="shared" si="41"/>
        <v>0.33918666666667685</v>
      </c>
      <c r="B138" s="100">
        <v>87</v>
      </c>
      <c r="C138" s="6">
        <f t="shared" si="42"/>
        <v>13.250000000000018</v>
      </c>
      <c r="D138" s="6">
        <f t="shared" si="28"/>
        <v>149.99999999999503</v>
      </c>
      <c r="E138" s="87">
        <v>0</v>
      </c>
      <c r="F138" s="87" t="str">
        <f t="shared" si="43"/>
        <v>6th</v>
      </c>
      <c r="G138" s="87" t="str" cm="1">
        <f t="array" ref="G138">_xlfn.SWITCH(TRUE,
  OR(C138=$F$46, C138=$G$46, C138=$H$46, C138=$I$46), "端リブ",
  C138&lt;$F$46, "0番",
  C138&lt;$G$46, "1番",
  C138&lt;$H$46, "2番",
  C138&lt;$I$46, "3番",
  C138&lt;$J$46, "4番",
  "ウィングレット"
)</f>
        <v>ウィングレット</v>
      </c>
      <c r="H138" s="229" t="s">
        <v>756</v>
      </c>
      <c r="I138" s="6">
        <f>'主翼(桁)'!F132*2</f>
        <v>35.877999999999837</v>
      </c>
      <c r="J138" s="6">
        <f>'主翼(桁)'!G132*2</f>
        <v>35.289999999999836</v>
      </c>
      <c r="K138" s="6">
        <f t="shared" si="29"/>
        <v>0.38</v>
      </c>
      <c r="L138" s="6">
        <f>'主翼(平面形結果)'!O295</f>
        <v>19.578020009583895</v>
      </c>
      <c r="M138" s="196">
        <f t="shared" si="44"/>
        <v>-16.299979990415942</v>
      </c>
      <c r="N138" s="273">
        <v>0.98155450001764577</v>
      </c>
      <c r="O138" s="196">
        <v>105797.33143227563</v>
      </c>
      <c r="P138" s="196">
        <v>1.0371100207354804</v>
      </c>
      <c r="Q138" s="196">
        <v>3.5225926142693521E-2</v>
      </c>
      <c r="R138" s="196">
        <v>-3.4471788024659902E-2</v>
      </c>
      <c r="S138" s="196">
        <v>-1.5025975135869698E-2</v>
      </c>
      <c r="T138" s="196">
        <v>0.61906929542757272</v>
      </c>
      <c r="U138" s="196">
        <v>1.371585006742696E-2</v>
      </c>
      <c r="V138" s="196">
        <v>7.3073591494964632E-3</v>
      </c>
      <c r="W138" s="196">
        <v>-0.10974303643977161</v>
      </c>
      <c r="X138" s="196">
        <v>-4.7836106897014355E-2</v>
      </c>
      <c r="Y138" s="196">
        <v>0.11934107162897419</v>
      </c>
      <c r="Z138" s="196">
        <v>-4.0135716498175219E-4</v>
      </c>
      <c r="AA138" s="196">
        <v>0.60939633768651547</v>
      </c>
      <c r="AB138" s="196">
        <v>0.11653432459859434</v>
      </c>
      <c r="AC138" s="196">
        <v>0.63587150863008246</v>
      </c>
      <c r="AD138" s="181" t="str">
        <f t="shared" si="30"/>
        <v>QX0126.dat</v>
      </c>
      <c r="AE138" s="6">
        <f>100-AG138</f>
        <v>100</v>
      </c>
      <c r="AF138" s="6" t="str">
        <f t="shared" si="31"/>
        <v>QX0126.dat</v>
      </c>
      <c r="AG138" s="6" cm="1">
        <f t="array" ref="AG138">IF(AD138=AF138,0,
  _xlfn.SWITCH(TRUE,
    $C138&lt;$H$7,  ($C138-$H$6)/($H$7-$H$6),
    $C138&lt;$H$8,  ($C138-$H$7)/($H$8-$H$7),
    $C138&lt;$H$9,  ($C138-$H$8)/($H$9-$H$8),
    $C138&lt;$H$10, ($C138-$H$9)/($H$10-$H$9),
    $C138&lt;$H$11, ($C138-$H$10)/($H$11-$H$10),
    $C138&lt;$H$12, ($C138-$H$11)/($H$12-$H$11),
    ($C138-$H$12)/($H$13-$H$12)
  )*100
)</f>
        <v>0</v>
      </c>
      <c r="AH138" s="6">
        <f t="shared" si="32"/>
        <v>5.6999999999998108E-2</v>
      </c>
      <c r="AI138" s="6">
        <f t="shared" si="33"/>
        <v>-9.2999999999996918E-2</v>
      </c>
      <c r="AJ138" s="6">
        <f t="shared" si="34"/>
        <v>13.219048708830769</v>
      </c>
      <c r="AK138" s="6">
        <f t="shared" si="35"/>
        <v>0.59058581746224204</v>
      </c>
      <c r="AL138" s="6">
        <f t="shared" si="36"/>
        <v>1.6999999999999957</v>
      </c>
      <c r="AM138" s="30">
        <f t="shared" si="37"/>
        <v>6</v>
      </c>
      <c r="AN138" s="198">
        <v>1.615764323471867</v>
      </c>
      <c r="AO138" s="196">
        <v>20.395495288904648</v>
      </c>
      <c r="AP138" s="196">
        <v>12.924211937301775</v>
      </c>
      <c r="AQ138" s="196">
        <v>1.7254151179391428</v>
      </c>
      <c r="AR138" s="196">
        <v>1.1205018849554653</v>
      </c>
      <c r="AS138" s="196">
        <v>-0.1590849991126449</v>
      </c>
      <c r="AT138" s="196"/>
      <c r="AU138" s="196"/>
      <c r="AV138" s="196"/>
      <c r="AW138" s="196"/>
      <c r="AX138" s="198"/>
      <c r="AY138" s="164"/>
      <c r="AZ138" s="23"/>
      <c r="BA138" s="23"/>
      <c r="BB138" s="23"/>
      <c r="BC138" s="23"/>
      <c r="BD138" s="23"/>
      <c r="BE138" s="23"/>
      <c r="BF138" s="23"/>
      <c r="BG138" s="23"/>
      <c r="BH138" s="23"/>
      <c r="BI138" s="23"/>
      <c r="BJ138" s="23"/>
      <c r="BK138" s="23"/>
      <c r="BL138" s="23"/>
      <c r="BM138" s="23"/>
      <c r="BN138" s="23"/>
    </row>
    <row r="139" spans="1:66">
      <c r="A139" s="23" t="e">
        <f>(I139+10)/D139</f>
        <v>#DIV/0!</v>
      </c>
      <c r="B139" s="100"/>
      <c r="C139" s="6"/>
      <c r="D139" s="6"/>
      <c r="E139" s="87"/>
      <c r="F139" s="87"/>
      <c r="G139" s="87"/>
      <c r="H139" s="229"/>
      <c r="I139" s="6" t="b" cm="1">
        <f t="array" ref="I139">_xlfn.SWITCH(G139,
"0番",$P$19+$O$19*C139,
"1番",$P$20+$O$20*C139,
"2番",$P$21+$O$21*C139,
"3番",$P$22+$O$22*C139,
FALSE
)</f>
        <v>0</v>
      </c>
      <c r="J139" s="6"/>
      <c r="K139" s="6"/>
      <c r="L139" s="6">
        <f>'主翼(平面形結果)'!O296</f>
        <v>160.52660379928719</v>
      </c>
      <c r="M139" s="196">
        <f t="shared" si="44"/>
        <v>160.52660379928719</v>
      </c>
      <c r="N139" s="273"/>
      <c r="O139" s="196"/>
      <c r="P139" s="196"/>
      <c r="Q139" s="196"/>
      <c r="R139" s="196"/>
      <c r="S139" s="196"/>
      <c r="T139" s="196"/>
      <c r="U139" s="196"/>
      <c r="V139" s="196"/>
      <c r="W139" s="196"/>
      <c r="X139" s="196"/>
      <c r="Y139" s="196"/>
      <c r="Z139" s="196"/>
      <c r="AA139" s="196"/>
      <c r="AB139" s="196"/>
      <c r="AC139" s="196"/>
      <c r="AD139" s="181"/>
      <c r="AE139" s="6"/>
      <c r="AF139" s="6"/>
      <c r="AG139" s="6"/>
      <c r="AH139" s="6"/>
      <c r="AI139" s="6"/>
      <c r="AJ139" s="6"/>
      <c r="AK139" s="6"/>
      <c r="AL139" s="6"/>
      <c r="AM139" s="30"/>
      <c r="AN139" s="198"/>
      <c r="AO139" s="196"/>
      <c r="AP139" s="196"/>
      <c r="AQ139" s="196"/>
      <c r="AR139" s="196"/>
      <c r="AS139" s="196"/>
      <c r="AT139" s="196"/>
      <c r="AU139" s="196"/>
      <c r="AV139" s="196"/>
      <c r="AW139" s="196"/>
      <c r="AX139" s="198"/>
      <c r="AY139" s="164"/>
      <c r="AZ139" s="23"/>
      <c r="BA139" s="23"/>
      <c r="BB139" s="23"/>
      <c r="BC139" s="23"/>
      <c r="BD139" s="23"/>
      <c r="BE139" s="23"/>
      <c r="BF139" s="23"/>
      <c r="BG139" s="23"/>
      <c r="BH139" s="23"/>
      <c r="BI139" s="23"/>
      <c r="BJ139" s="23"/>
      <c r="BK139" s="23"/>
      <c r="BL139" s="23"/>
      <c r="BM139" s="23"/>
      <c r="BN139" s="23"/>
    </row>
    <row r="140" spans="1:66">
      <c r="A140" s="23" t="e">
        <f>(I140+10)/D140</f>
        <v>#DIV/0!</v>
      </c>
      <c r="B140" s="100"/>
      <c r="C140" s="6"/>
      <c r="D140" s="6"/>
      <c r="E140" s="87"/>
      <c r="F140" s="93"/>
      <c r="G140" s="87"/>
      <c r="H140" s="229"/>
      <c r="I140" s="6" t="b" cm="1">
        <f t="array" ref="I140">_xlfn.SWITCH(G140,
"0番",$P$19+$O$19*C140,
"1番",$P$20+$O$20*C140,
"2番",$P$21+$O$21*C140,
"3番",$P$22+$O$22*C140,
FALSE
)</f>
        <v>0</v>
      </c>
      <c r="J140" s="6"/>
      <c r="K140" s="6"/>
      <c r="L140" s="6">
        <f>'主翼(平面形結果)'!O297</f>
        <v>160.52660379928719</v>
      </c>
      <c r="M140" s="196">
        <f t="shared" si="44"/>
        <v>160.52660379928719</v>
      </c>
      <c r="N140" s="273"/>
      <c r="O140" s="196"/>
      <c r="P140" s="196"/>
      <c r="Q140" s="196"/>
      <c r="R140" s="196"/>
      <c r="S140" s="196"/>
      <c r="T140" s="196"/>
      <c r="U140" s="196"/>
      <c r="V140" s="196"/>
      <c r="W140" s="196"/>
      <c r="X140" s="196"/>
      <c r="Y140" s="196"/>
      <c r="Z140" s="196"/>
      <c r="AA140" s="196"/>
      <c r="AB140" s="196"/>
      <c r="AC140" s="196"/>
      <c r="AD140" s="181"/>
      <c r="AE140" s="6"/>
      <c r="AF140" s="6"/>
      <c r="AG140" s="6"/>
      <c r="AH140" s="6"/>
      <c r="AI140" s="6"/>
      <c r="AJ140" s="6"/>
      <c r="AK140" s="6"/>
      <c r="AL140" s="6"/>
      <c r="AM140" s="30"/>
      <c r="AN140" s="198"/>
      <c r="AO140" s="196"/>
      <c r="AP140" s="196"/>
      <c r="AQ140" s="196"/>
      <c r="AR140" s="196"/>
      <c r="AS140" s="196"/>
      <c r="AT140" s="196"/>
      <c r="AU140" s="196"/>
      <c r="AV140" s="196"/>
      <c r="AW140" s="196"/>
      <c r="AX140" s="198"/>
      <c r="AY140" s="164"/>
      <c r="AZ140" s="23"/>
      <c r="BA140" s="23"/>
      <c r="BB140" s="23"/>
      <c r="BC140" s="23"/>
      <c r="BD140" s="23"/>
      <c r="BE140" s="23"/>
      <c r="BF140" s="23"/>
      <c r="BG140" s="23"/>
      <c r="BH140" s="23"/>
      <c r="BI140" s="23"/>
      <c r="BJ140" s="23"/>
      <c r="BK140" s="23"/>
      <c r="BL140" s="23"/>
      <c r="BM140" s="23"/>
      <c r="BN140" s="23"/>
    </row>
    <row r="141" spans="1:66">
      <c r="A141" s="23" t="e">
        <f>(I141+10)/D141</f>
        <v>#DIV/0!</v>
      </c>
      <c r="B141" s="100"/>
      <c r="C141" s="6"/>
      <c r="D141" s="6"/>
      <c r="E141" s="87"/>
      <c r="F141" s="93"/>
      <c r="G141" s="87"/>
      <c r="H141" s="229"/>
      <c r="I141" s="6" t="b" cm="1">
        <f t="array" ref="I141">_xlfn.SWITCH(G141,
"0番",$P$19+$O$19*C141,
"1番",$P$20+$O$20*C141,
"2番",$P$21+$O$21*C141,
"3番",$P$22+$O$22*C141,
FALSE
)</f>
        <v>0</v>
      </c>
      <c r="J141" s="6"/>
      <c r="K141" s="6"/>
      <c r="L141" s="6">
        <f>'主翼(平面形結果)'!O298</f>
        <v>160.52660379928719</v>
      </c>
      <c r="M141" s="196">
        <f t="shared" si="44"/>
        <v>160.52660379928719</v>
      </c>
      <c r="N141" s="273"/>
      <c r="O141" s="196"/>
      <c r="P141" s="196"/>
      <c r="Q141" s="196"/>
      <c r="R141" s="196"/>
      <c r="S141" s="196"/>
      <c r="T141" s="196"/>
      <c r="U141" s="196"/>
      <c r="V141" s="196"/>
      <c r="W141" s="196"/>
      <c r="X141" s="196"/>
      <c r="Y141" s="196"/>
      <c r="Z141" s="196"/>
      <c r="AA141" s="196"/>
      <c r="AB141" s="196"/>
      <c r="AC141" s="196"/>
      <c r="AD141" s="181"/>
      <c r="AE141" s="6"/>
      <c r="AF141" s="6"/>
      <c r="AG141" s="6"/>
      <c r="AH141" s="6"/>
      <c r="AI141" s="6"/>
      <c r="AJ141" s="6"/>
      <c r="AK141" s="6"/>
      <c r="AL141" s="6"/>
      <c r="AM141" s="30"/>
      <c r="AN141" s="198"/>
      <c r="AO141" s="196"/>
      <c r="AP141" s="196"/>
      <c r="AQ141" s="196"/>
      <c r="AR141" s="196"/>
      <c r="AS141" s="196"/>
      <c r="AT141" s="196"/>
      <c r="AU141" s="196"/>
      <c r="AV141" s="196"/>
      <c r="AW141" s="196"/>
      <c r="AX141" s="198"/>
      <c r="AY141" s="164"/>
      <c r="AZ141" s="23"/>
      <c r="BA141" s="23"/>
      <c r="BB141" s="23"/>
      <c r="BC141" s="23"/>
      <c r="BD141" s="23"/>
      <c r="BE141" s="23"/>
      <c r="BF141" s="23"/>
      <c r="BG141" s="23"/>
      <c r="BH141" s="23"/>
      <c r="BI141" s="23"/>
      <c r="BJ141" s="23"/>
      <c r="BK141" s="23"/>
      <c r="BL141" s="23"/>
      <c r="BM141" s="23"/>
      <c r="BN141" s="23"/>
    </row>
    <row r="142" spans="1:66">
      <c r="A142" s="23"/>
      <c r="B142" s="100"/>
      <c r="C142" s="6"/>
      <c r="D142" s="6"/>
      <c r="E142" s="87"/>
      <c r="F142" s="93"/>
      <c r="G142" s="87"/>
      <c r="H142" s="229"/>
      <c r="I142" s="6" t="b" cm="1">
        <f t="array" ref="I142">_xlfn.SWITCH(G142,
"0番",$P$19+$O$19*C142,
"1番",$P$20+$O$20*C142,
"2番",$P$21+$O$21*C142,
"3番",$P$22+$O$22*C142,
FALSE
)</f>
        <v>0</v>
      </c>
      <c r="J142" s="6"/>
      <c r="K142" s="6"/>
      <c r="L142" s="6">
        <f>'主翼(平面形結果)'!O299</f>
        <v>160.52660379928719</v>
      </c>
      <c r="M142" s="196">
        <f t="shared" si="44"/>
        <v>160.52660379928719</v>
      </c>
      <c r="N142" s="273"/>
      <c r="O142" s="196"/>
      <c r="P142" s="196"/>
      <c r="Q142" s="196"/>
      <c r="R142" s="196"/>
      <c r="S142" s="196"/>
      <c r="T142" s="196"/>
      <c r="U142" s="196"/>
      <c r="V142" s="196"/>
      <c r="W142" s="196"/>
      <c r="X142" s="196"/>
      <c r="Y142" s="196"/>
      <c r="Z142" s="196"/>
      <c r="AA142" s="196"/>
      <c r="AB142" s="196"/>
      <c r="AC142" s="196"/>
      <c r="AD142" s="181"/>
      <c r="AE142" s="6"/>
      <c r="AF142" s="6"/>
      <c r="AG142" s="6"/>
      <c r="AH142" s="6"/>
      <c r="AI142" s="6"/>
      <c r="AJ142" s="6"/>
      <c r="AK142" s="6"/>
      <c r="AL142" s="6"/>
      <c r="AM142" s="30"/>
      <c r="AN142" s="198"/>
      <c r="AO142" s="196"/>
      <c r="AP142" s="196"/>
      <c r="AQ142" s="196"/>
      <c r="AR142" s="196"/>
      <c r="AS142" s="196"/>
      <c r="AT142" s="196"/>
      <c r="AU142" s="196"/>
      <c r="AV142" s="196"/>
      <c r="AW142" s="196"/>
      <c r="AX142" s="198"/>
      <c r="AY142" s="164"/>
      <c r="AZ142" s="23"/>
      <c r="BA142" s="23"/>
      <c r="BB142" s="23"/>
      <c r="BC142" s="23"/>
      <c r="BD142" s="23"/>
      <c r="BE142" s="23"/>
      <c r="BF142" s="23"/>
      <c r="BG142" s="23"/>
      <c r="BH142" s="23"/>
      <c r="BI142" s="23"/>
      <c r="BJ142" s="23"/>
      <c r="BK142" s="23"/>
      <c r="BL142" s="23"/>
      <c r="BM142" s="23"/>
      <c r="BN142" s="23"/>
    </row>
    <row r="143" spans="1:66">
      <c r="A143" s="23"/>
      <c r="B143" s="100"/>
      <c r="C143" s="6"/>
      <c r="D143" s="6"/>
      <c r="E143" s="87"/>
      <c r="F143" s="93"/>
      <c r="G143" s="87"/>
      <c r="H143" s="194"/>
      <c r="I143" s="181"/>
      <c r="J143" s="6"/>
      <c r="K143" s="6"/>
      <c r="L143" s="6">
        <f>'主翼(平面形結果)'!O300</f>
        <v>160.52660379928719</v>
      </c>
      <c r="M143" s="196">
        <f t="shared" si="44"/>
        <v>160.52660379928719</v>
      </c>
      <c r="N143" s="273"/>
      <c r="O143" s="196"/>
      <c r="P143" s="196"/>
      <c r="Q143" s="196"/>
      <c r="R143" s="196"/>
      <c r="S143" s="196"/>
      <c r="T143" s="196"/>
      <c r="U143" s="196"/>
      <c r="V143" s="196"/>
      <c r="W143" s="196"/>
      <c r="X143" s="196"/>
      <c r="Y143" s="196"/>
      <c r="Z143" s="196"/>
      <c r="AA143" s="196"/>
      <c r="AB143" s="196"/>
      <c r="AC143" s="196"/>
      <c r="AD143" s="181"/>
      <c r="AE143" s="6"/>
      <c r="AF143" s="6"/>
      <c r="AG143" s="6"/>
      <c r="AH143" s="6"/>
      <c r="AI143" s="6"/>
      <c r="AJ143" s="6"/>
      <c r="AK143" s="6"/>
      <c r="AL143" s="6"/>
      <c r="AM143" s="30"/>
      <c r="AN143" s="198"/>
      <c r="AO143" s="196"/>
      <c r="AP143" s="196"/>
      <c r="AQ143" s="196"/>
      <c r="AR143" s="196"/>
      <c r="AS143" s="196"/>
      <c r="AT143" s="196"/>
      <c r="AU143" s="196"/>
      <c r="AV143" s="196"/>
      <c r="AW143" s="196"/>
      <c r="AX143" s="198"/>
      <c r="AY143" s="164"/>
      <c r="AZ143" s="23"/>
      <c r="BA143" s="23"/>
      <c r="BB143" s="23"/>
      <c r="BC143" s="23"/>
      <c r="BD143" s="23"/>
      <c r="BE143" s="23"/>
      <c r="BF143" s="23"/>
      <c r="BG143" s="23"/>
      <c r="BH143" s="23"/>
      <c r="BI143" s="23"/>
      <c r="BJ143" s="23"/>
      <c r="BK143" s="23"/>
      <c r="BL143" s="23"/>
      <c r="BM143" s="23"/>
      <c r="BN143" s="23"/>
    </row>
    <row r="144" spans="1:66">
      <c r="A144" s="23"/>
      <c r="B144" s="100"/>
      <c r="C144" s="6"/>
      <c r="D144" s="6"/>
      <c r="E144" s="87"/>
      <c r="F144" s="93"/>
      <c r="G144" s="87"/>
      <c r="H144" s="194"/>
      <c r="I144" s="181"/>
      <c r="J144" s="6"/>
      <c r="K144" s="6"/>
      <c r="L144" s="6">
        <f>'主翼(平面形結果)'!O301</f>
        <v>0.16052660379928718</v>
      </c>
      <c r="M144" s="196">
        <f t="shared" si="44"/>
        <v>0.16052660379928718</v>
      </c>
      <c r="N144" s="273"/>
      <c r="O144" s="196"/>
      <c r="P144" s="196"/>
      <c r="Q144" s="196"/>
      <c r="R144" s="196"/>
      <c r="S144" s="196"/>
      <c r="T144" s="196"/>
      <c r="U144" s="196"/>
      <c r="V144" s="196"/>
      <c r="W144" s="196"/>
      <c r="X144" s="196"/>
      <c r="Y144" s="196"/>
      <c r="Z144" s="196"/>
      <c r="AA144" s="196"/>
      <c r="AB144" s="196"/>
      <c r="AC144" s="196"/>
      <c r="AD144" s="181"/>
      <c r="AE144" s="6"/>
      <c r="AF144" s="6"/>
      <c r="AG144" s="6"/>
      <c r="AH144" s="6"/>
      <c r="AI144" s="6"/>
      <c r="AJ144" s="6"/>
      <c r="AK144" s="6"/>
      <c r="AL144" s="6"/>
      <c r="AM144" s="30"/>
      <c r="AN144" s="198"/>
      <c r="AO144" s="196"/>
      <c r="AP144" s="196"/>
      <c r="AQ144" s="196"/>
      <c r="AR144" s="196"/>
      <c r="AS144" s="196"/>
      <c r="AT144" s="196"/>
      <c r="AU144" s="196"/>
      <c r="AV144" s="196"/>
      <c r="AW144" s="196"/>
      <c r="AX144" s="198"/>
      <c r="AY144" s="164"/>
      <c r="AZ144" s="23"/>
      <c r="BA144" s="23"/>
      <c r="BB144" s="23"/>
      <c r="BC144" s="23"/>
      <c r="BD144" s="23"/>
      <c r="BE144" s="23"/>
      <c r="BF144" s="23"/>
      <c r="BG144" s="23"/>
      <c r="BH144" s="23"/>
      <c r="BI144" s="23"/>
      <c r="BJ144" s="23"/>
      <c r="BK144" s="23"/>
      <c r="BL144" s="23"/>
      <c r="BM144" s="23"/>
      <c r="BN144" s="23"/>
    </row>
    <row r="145" spans="1:66">
      <c r="A145" s="23"/>
      <c r="B145" s="100"/>
      <c r="C145" s="6"/>
      <c r="D145" s="6"/>
      <c r="E145" s="87"/>
      <c r="F145" s="93"/>
      <c r="G145" s="87"/>
      <c r="H145" s="194"/>
      <c r="I145" s="181"/>
      <c r="J145" s="6"/>
      <c r="K145" s="6"/>
      <c r="L145" s="6">
        <f>'主翼(平面形結果)'!O302</f>
        <v>0.16052660379928718</v>
      </c>
      <c r="M145" s="197"/>
      <c r="N145" s="273"/>
      <c r="O145" s="196"/>
      <c r="P145" s="196"/>
      <c r="Q145" s="196"/>
      <c r="R145" s="196"/>
      <c r="S145" s="196"/>
      <c r="T145" s="196"/>
      <c r="U145" s="196"/>
      <c r="V145" s="196"/>
      <c r="W145" s="196"/>
      <c r="X145" s="196"/>
      <c r="Y145" s="196"/>
      <c r="Z145" s="196"/>
      <c r="AA145" s="196"/>
      <c r="AB145" s="196"/>
      <c r="AC145" s="196"/>
      <c r="AD145" s="181"/>
      <c r="AE145" s="6"/>
      <c r="AF145" s="6"/>
      <c r="AG145" s="6"/>
      <c r="AH145" s="6"/>
      <c r="AI145" s="6"/>
      <c r="AJ145" s="6"/>
      <c r="AK145" s="6"/>
      <c r="AL145" s="6"/>
      <c r="AM145" s="30"/>
      <c r="AN145" s="198"/>
      <c r="AO145" s="196"/>
      <c r="AP145" s="196"/>
      <c r="AQ145" s="196"/>
      <c r="AR145" s="196"/>
      <c r="AS145" s="196"/>
      <c r="AT145" s="196"/>
      <c r="AU145" s="196"/>
      <c r="AV145" s="196"/>
      <c r="AW145" s="196"/>
      <c r="AX145" s="198"/>
      <c r="AY145" s="164"/>
      <c r="AZ145" s="23"/>
      <c r="BA145" s="23"/>
      <c r="BB145" s="23"/>
      <c r="BC145" s="23"/>
      <c r="BD145" s="23"/>
      <c r="BE145" s="23"/>
      <c r="BF145" s="23"/>
      <c r="BG145" s="23"/>
      <c r="BH145" s="23"/>
      <c r="BI145" s="23"/>
      <c r="BJ145" s="23"/>
      <c r="BK145" s="23"/>
      <c r="BL145" s="23"/>
      <c r="BM145" s="23"/>
      <c r="BN145" s="23"/>
    </row>
    <row r="146" spans="1:66">
      <c r="A146" s="23"/>
      <c r="B146" s="100"/>
      <c r="C146" s="6"/>
      <c r="D146" s="6"/>
      <c r="E146" s="87"/>
      <c r="F146" s="93"/>
      <c r="G146" s="87"/>
      <c r="H146" s="194"/>
      <c r="I146" s="181"/>
      <c r="J146" s="6"/>
      <c r="K146" s="6"/>
      <c r="L146" s="6">
        <f>'主翼(平面形結果)'!O303</f>
        <v>0</v>
      </c>
      <c r="M146" s="197"/>
      <c r="N146" s="273"/>
      <c r="O146" s="196"/>
      <c r="P146" s="196"/>
      <c r="Q146" s="196"/>
      <c r="R146" s="196"/>
      <c r="S146" s="196"/>
      <c r="T146" s="196"/>
      <c r="U146" s="196"/>
      <c r="V146" s="196"/>
      <c r="W146" s="196"/>
      <c r="X146" s="196"/>
      <c r="Y146" s="196"/>
      <c r="Z146" s="196"/>
      <c r="AA146" s="196"/>
      <c r="AB146" s="196"/>
      <c r="AC146" s="196"/>
      <c r="AD146" s="181"/>
      <c r="AE146" s="6"/>
      <c r="AF146" s="6"/>
      <c r="AG146" s="6"/>
      <c r="AH146" s="6"/>
      <c r="AI146" s="6"/>
      <c r="AJ146" s="6"/>
      <c r="AK146" s="6"/>
      <c r="AL146" s="6"/>
      <c r="AM146" s="30"/>
      <c r="AN146" s="198"/>
      <c r="AO146" s="196"/>
      <c r="AP146" s="196"/>
      <c r="AQ146" s="196"/>
      <c r="AR146" s="196"/>
      <c r="AS146" s="196"/>
      <c r="AT146" s="196"/>
      <c r="AU146" s="196"/>
      <c r="AV146" s="196"/>
      <c r="AW146" s="196"/>
      <c r="AX146" s="198"/>
      <c r="AY146" s="164"/>
      <c r="AZ146" s="23"/>
      <c r="BA146" s="23"/>
      <c r="BB146" s="23"/>
      <c r="BC146" s="23"/>
      <c r="BD146" s="23"/>
      <c r="BE146" s="23"/>
      <c r="BF146" s="23"/>
      <c r="BG146" s="23"/>
      <c r="BH146" s="23"/>
      <c r="BI146" s="23"/>
      <c r="BJ146" s="23"/>
      <c r="BK146" s="23"/>
      <c r="BL146" s="23"/>
      <c r="BM146" s="23"/>
      <c r="BN146" s="23"/>
    </row>
    <row r="147" spans="1:66">
      <c r="A147" s="23"/>
      <c r="B147" s="100"/>
      <c r="C147" s="6"/>
      <c r="D147" s="6"/>
      <c r="E147" s="87"/>
      <c r="F147" s="93"/>
      <c r="G147" s="87"/>
      <c r="H147" s="194"/>
      <c r="I147" s="181"/>
      <c r="J147" s="6"/>
      <c r="K147" s="6"/>
      <c r="L147" s="175"/>
      <c r="M147" s="197"/>
      <c r="N147" s="273"/>
      <c r="O147" s="196"/>
      <c r="P147" s="196"/>
      <c r="Q147" s="196"/>
      <c r="R147" s="196"/>
      <c r="S147" s="196"/>
      <c r="T147" s="196"/>
      <c r="U147" s="196"/>
      <c r="V147" s="196"/>
      <c r="W147" s="196"/>
      <c r="X147" s="196"/>
      <c r="Y147" s="196"/>
      <c r="Z147" s="196"/>
      <c r="AA147" s="196"/>
      <c r="AB147" s="196"/>
      <c r="AC147" s="196"/>
      <c r="AD147" s="181"/>
      <c r="AE147" s="6"/>
      <c r="AF147" s="6"/>
      <c r="AG147" s="6"/>
      <c r="AH147" s="6"/>
      <c r="AI147" s="6"/>
      <c r="AJ147" s="6"/>
      <c r="AK147" s="6"/>
      <c r="AL147" s="6"/>
      <c r="AM147" s="30"/>
      <c r="AN147" s="198"/>
      <c r="AO147" s="196"/>
      <c r="AP147" s="196"/>
      <c r="AQ147" s="196"/>
      <c r="AR147" s="196"/>
      <c r="AS147" s="196"/>
      <c r="AT147" s="196"/>
      <c r="AU147" s="196"/>
      <c r="AV147" s="196"/>
      <c r="AW147" s="196"/>
      <c r="AX147" s="198"/>
      <c r="AY147" s="164"/>
      <c r="AZ147" s="23"/>
      <c r="BA147" s="23"/>
      <c r="BB147" s="23"/>
      <c r="BC147" s="23"/>
      <c r="BD147" s="23"/>
      <c r="BE147" s="23"/>
      <c r="BF147" s="23"/>
      <c r="BG147" s="23"/>
      <c r="BH147" s="23"/>
      <c r="BI147" s="23"/>
      <c r="BJ147" s="23"/>
      <c r="BK147" s="23"/>
      <c r="BL147" s="23"/>
      <c r="BM147" s="23"/>
      <c r="BN147" s="23"/>
    </row>
    <row r="148" spans="1:66">
      <c r="A148" s="23"/>
      <c r="B148" s="100"/>
      <c r="C148" s="6"/>
      <c r="D148" s="6"/>
      <c r="E148" s="87"/>
      <c r="F148" s="93"/>
      <c r="G148" s="87"/>
      <c r="H148" s="194"/>
      <c r="I148" s="181"/>
      <c r="J148" s="6"/>
      <c r="K148" s="6"/>
      <c r="L148" s="175"/>
      <c r="M148" s="197"/>
      <c r="N148" s="273"/>
      <c r="O148" s="196"/>
      <c r="P148" s="196"/>
      <c r="Q148" s="196"/>
      <c r="R148" s="196"/>
      <c r="S148" s="196"/>
      <c r="T148" s="196"/>
      <c r="U148" s="196"/>
      <c r="V148" s="196"/>
      <c r="W148" s="196"/>
      <c r="X148" s="196"/>
      <c r="Y148" s="196"/>
      <c r="Z148" s="196"/>
      <c r="AA148" s="196"/>
      <c r="AB148" s="196"/>
      <c r="AC148" s="196"/>
      <c r="AD148" s="181"/>
      <c r="AE148" s="6"/>
      <c r="AF148" s="6"/>
      <c r="AG148" s="6"/>
      <c r="AH148" s="6"/>
      <c r="AI148" s="6"/>
      <c r="AJ148" s="6"/>
      <c r="AK148" s="6"/>
      <c r="AL148" s="6"/>
      <c r="AM148" s="30"/>
      <c r="AN148" s="198"/>
      <c r="AO148" s="196"/>
      <c r="AP148" s="196"/>
      <c r="AQ148" s="196"/>
      <c r="AR148" s="196"/>
      <c r="AS148" s="196"/>
      <c r="AT148" s="196"/>
      <c r="AU148" s="196"/>
      <c r="AV148" s="196"/>
      <c r="AW148" s="196"/>
      <c r="AX148" s="198"/>
      <c r="AY148" s="164"/>
      <c r="AZ148" s="23"/>
      <c r="BA148" s="23"/>
      <c r="BB148" s="23"/>
      <c r="BC148" s="23"/>
      <c r="BD148" s="23"/>
      <c r="BE148" s="23"/>
      <c r="BF148" s="23"/>
      <c r="BG148" s="23"/>
      <c r="BH148" s="23"/>
      <c r="BI148" s="23"/>
      <c r="BJ148" s="23"/>
      <c r="BK148" s="23"/>
      <c r="BL148" s="23"/>
      <c r="BM148" s="23"/>
      <c r="BN148" s="23"/>
    </row>
    <row r="149" spans="1:66">
      <c r="A149" s="23"/>
      <c r="B149" s="100"/>
      <c r="C149" s="6"/>
      <c r="D149" s="6"/>
      <c r="E149" s="87"/>
      <c r="F149" s="93"/>
      <c r="G149" s="87"/>
      <c r="H149" s="194"/>
      <c r="I149" s="181"/>
      <c r="J149" s="6"/>
      <c r="K149" s="6"/>
      <c r="L149" s="175"/>
      <c r="M149" s="197"/>
      <c r="N149" s="273"/>
      <c r="O149" s="196"/>
      <c r="P149" s="196"/>
      <c r="Q149" s="196"/>
      <c r="R149" s="196"/>
      <c r="S149" s="196"/>
      <c r="T149" s="196"/>
      <c r="U149" s="196"/>
      <c r="V149" s="196"/>
      <c r="W149" s="196"/>
      <c r="X149" s="196"/>
      <c r="Y149" s="196"/>
      <c r="Z149" s="196"/>
      <c r="AA149" s="196"/>
      <c r="AB149" s="196"/>
      <c r="AC149" s="196"/>
      <c r="AD149" s="181"/>
      <c r="AE149" s="6"/>
      <c r="AF149" s="6"/>
      <c r="AG149" s="6"/>
      <c r="AH149" s="6"/>
      <c r="AI149" s="6"/>
      <c r="AJ149" s="6"/>
      <c r="AK149" s="6"/>
      <c r="AL149" s="6"/>
      <c r="AM149" s="30"/>
      <c r="AN149" s="198"/>
      <c r="AO149" s="196"/>
      <c r="AP149" s="196"/>
      <c r="AQ149" s="196"/>
      <c r="AR149" s="196"/>
      <c r="AS149" s="196"/>
      <c r="AT149" s="196"/>
      <c r="AU149" s="196"/>
      <c r="AV149" s="196"/>
      <c r="AW149" s="196"/>
      <c r="AX149" s="198"/>
      <c r="AY149" s="164"/>
      <c r="AZ149" s="23"/>
      <c r="BA149" s="23"/>
      <c r="BB149" s="23"/>
      <c r="BC149" s="23"/>
      <c r="BD149" s="23"/>
      <c r="BE149" s="23"/>
      <c r="BF149" s="23"/>
      <c r="BG149" s="23"/>
      <c r="BH149" s="23"/>
      <c r="BI149" s="23"/>
      <c r="BJ149" s="23"/>
      <c r="BK149" s="23"/>
      <c r="BL149" s="23"/>
      <c r="BM149" s="23"/>
      <c r="BN149" s="23"/>
    </row>
    <row r="150" spans="1:66">
      <c r="A150" s="23"/>
      <c r="B150" s="100"/>
      <c r="C150" s="6"/>
      <c r="D150" s="6"/>
      <c r="E150" s="87"/>
      <c r="F150" s="93"/>
      <c r="G150" s="87"/>
      <c r="H150" s="194"/>
      <c r="I150" s="181"/>
      <c r="J150" s="6"/>
      <c r="K150" s="6"/>
      <c r="L150" s="175"/>
      <c r="M150" s="197"/>
      <c r="N150" s="273"/>
      <c r="O150" s="196"/>
      <c r="P150" s="196"/>
      <c r="Q150" s="196"/>
      <c r="R150" s="196"/>
      <c r="S150" s="196"/>
      <c r="T150" s="196"/>
      <c r="U150" s="196"/>
      <c r="V150" s="196"/>
      <c r="W150" s="196"/>
      <c r="X150" s="196"/>
      <c r="Y150" s="196"/>
      <c r="Z150" s="196"/>
      <c r="AA150" s="196"/>
      <c r="AB150" s="196"/>
      <c r="AC150" s="196"/>
      <c r="AD150" s="181"/>
      <c r="AE150" s="6"/>
      <c r="AF150" s="6"/>
      <c r="AG150" s="6"/>
      <c r="AH150" s="6"/>
      <c r="AI150" s="6"/>
      <c r="AJ150" s="6"/>
      <c r="AK150" s="6"/>
      <c r="AL150" s="6"/>
      <c r="AM150" s="30"/>
      <c r="AN150" s="198"/>
      <c r="AO150" s="196"/>
      <c r="AP150" s="196"/>
      <c r="AQ150" s="196"/>
      <c r="AR150" s="196"/>
      <c r="AS150" s="196"/>
      <c r="AT150" s="196"/>
      <c r="AU150" s="196"/>
      <c r="AV150" s="196"/>
      <c r="AW150" s="196"/>
      <c r="AX150" s="198"/>
      <c r="AY150" s="164"/>
      <c r="AZ150" s="23"/>
      <c r="BA150" s="23"/>
      <c r="BB150" s="23"/>
      <c r="BC150" s="23"/>
      <c r="BD150" s="23"/>
      <c r="BE150" s="23"/>
      <c r="BF150" s="23"/>
      <c r="BG150" s="23"/>
      <c r="BH150" s="23"/>
      <c r="BI150" s="23"/>
      <c r="BJ150" s="23"/>
      <c r="BK150" s="23"/>
      <c r="BL150" s="23"/>
      <c r="BM150" s="23"/>
      <c r="BN150" s="23"/>
    </row>
    <row r="151" spans="1:66">
      <c r="A151" s="23"/>
      <c r="B151" s="100"/>
      <c r="C151" s="6"/>
      <c r="D151" s="6"/>
      <c r="E151" s="87"/>
      <c r="F151" s="93"/>
      <c r="G151" s="87"/>
      <c r="H151" s="194"/>
      <c r="I151" s="181"/>
      <c r="J151" s="6"/>
      <c r="K151" s="6"/>
      <c r="L151" s="175"/>
      <c r="M151" s="197"/>
      <c r="N151" s="273"/>
      <c r="O151" s="196"/>
      <c r="P151" s="196"/>
      <c r="Q151" s="196"/>
      <c r="R151" s="196"/>
      <c r="S151" s="196"/>
      <c r="T151" s="196"/>
      <c r="U151" s="196"/>
      <c r="V151" s="196"/>
      <c r="W151" s="196"/>
      <c r="X151" s="196"/>
      <c r="Y151" s="196"/>
      <c r="Z151" s="196"/>
      <c r="AA151" s="196"/>
      <c r="AB151" s="196"/>
      <c r="AC151" s="196"/>
      <c r="AD151" s="181"/>
      <c r="AE151" s="6"/>
      <c r="AF151" s="6"/>
      <c r="AG151" s="6"/>
      <c r="AH151" s="6"/>
      <c r="AI151" s="6"/>
      <c r="AJ151" s="6"/>
      <c r="AK151" s="6"/>
      <c r="AL151" s="6"/>
      <c r="AM151" s="30"/>
      <c r="AN151" s="198"/>
      <c r="AO151" s="196"/>
      <c r="AP151" s="196"/>
      <c r="AQ151" s="196"/>
      <c r="AR151" s="196"/>
      <c r="AS151" s="196"/>
      <c r="AT151" s="196"/>
      <c r="AU151" s="196"/>
      <c r="AV151" s="196"/>
      <c r="AW151" s="196"/>
      <c r="AX151" s="198"/>
      <c r="AY151" s="164"/>
      <c r="AZ151" s="23"/>
      <c r="BA151" s="23"/>
      <c r="BB151" s="23"/>
      <c r="BC151" s="23"/>
      <c r="BD151" s="23"/>
      <c r="BE151" s="23"/>
      <c r="BF151" s="23"/>
      <c r="BG151" s="23"/>
      <c r="BH151" s="23"/>
      <c r="BI151" s="23"/>
      <c r="BJ151" s="23"/>
      <c r="BK151" s="23"/>
      <c r="BL151" s="23"/>
      <c r="BM151" s="23"/>
      <c r="BN151" s="23"/>
    </row>
    <row r="152" spans="1:66">
      <c r="A152" s="23"/>
      <c r="B152" s="100"/>
      <c r="C152" s="6"/>
      <c r="D152" s="6"/>
      <c r="E152" s="87"/>
      <c r="F152" s="93"/>
      <c r="G152" s="87"/>
      <c r="H152" s="194"/>
      <c r="I152" s="181"/>
      <c r="J152" s="6"/>
      <c r="K152" s="6"/>
      <c r="L152" s="175"/>
      <c r="M152" s="197"/>
      <c r="N152" s="273"/>
      <c r="O152" s="196"/>
      <c r="P152" s="196"/>
      <c r="Q152" s="196"/>
      <c r="R152" s="196"/>
      <c r="S152" s="196"/>
      <c r="T152" s="196"/>
      <c r="U152" s="196"/>
      <c r="V152" s="196"/>
      <c r="W152" s="196"/>
      <c r="X152" s="196"/>
      <c r="Y152" s="196"/>
      <c r="Z152" s="196"/>
      <c r="AA152" s="196"/>
      <c r="AB152" s="196"/>
      <c r="AC152" s="196"/>
      <c r="AD152" s="181"/>
      <c r="AE152" s="6"/>
      <c r="AF152" s="6"/>
      <c r="AG152" s="6"/>
      <c r="AH152" s="6"/>
      <c r="AI152" s="6"/>
      <c r="AJ152" s="6"/>
      <c r="AK152" s="6"/>
      <c r="AL152" s="6"/>
      <c r="AM152" s="30"/>
      <c r="AN152" s="198"/>
      <c r="AO152" s="196"/>
      <c r="AP152" s="196"/>
      <c r="AQ152" s="196"/>
      <c r="AR152" s="196"/>
      <c r="AS152" s="196"/>
      <c r="AT152" s="196"/>
      <c r="AU152" s="196"/>
      <c r="AV152" s="196"/>
      <c r="AW152" s="196"/>
      <c r="AX152" s="198"/>
      <c r="AY152" s="164"/>
      <c r="AZ152" s="23"/>
      <c r="BA152" s="23"/>
      <c r="BB152" s="23"/>
      <c r="BC152" s="23"/>
      <c r="BD152" s="23"/>
      <c r="BE152" s="23"/>
      <c r="BF152" s="23"/>
      <c r="BG152" s="23"/>
      <c r="BH152" s="23"/>
      <c r="BI152" s="23"/>
      <c r="BJ152" s="23"/>
      <c r="BK152" s="23"/>
      <c r="BL152" s="23"/>
      <c r="BM152" s="23"/>
      <c r="BN152" s="23"/>
    </row>
    <row r="153" spans="1:66">
      <c r="A153" s="23"/>
      <c r="B153" s="100"/>
      <c r="C153" s="6"/>
      <c r="D153" s="6"/>
      <c r="E153" s="87"/>
      <c r="F153" s="93"/>
      <c r="G153" s="87"/>
      <c r="H153" s="194"/>
      <c r="I153" s="181"/>
      <c r="J153" s="6"/>
      <c r="K153" s="6"/>
      <c r="L153" s="175"/>
      <c r="M153" s="197"/>
      <c r="N153" s="273"/>
      <c r="O153" s="196"/>
      <c r="P153" s="196"/>
      <c r="Q153" s="196"/>
      <c r="R153" s="196"/>
      <c r="S153" s="196"/>
      <c r="T153" s="196"/>
      <c r="U153" s="196"/>
      <c r="V153" s="196"/>
      <c r="W153" s="196"/>
      <c r="X153" s="196"/>
      <c r="Y153" s="196"/>
      <c r="Z153" s="196"/>
      <c r="AA153" s="196"/>
      <c r="AB153" s="196"/>
      <c r="AC153" s="196"/>
      <c r="AD153" s="181"/>
      <c r="AE153" s="6"/>
      <c r="AF153" s="6"/>
      <c r="AG153" s="6"/>
      <c r="AH153" s="6"/>
      <c r="AI153" s="6"/>
      <c r="AJ153" s="6"/>
      <c r="AK153" s="6"/>
      <c r="AL153" s="6"/>
      <c r="AM153" s="30"/>
      <c r="AN153" s="198"/>
      <c r="AO153" s="196"/>
      <c r="AP153" s="196"/>
      <c r="AQ153" s="196"/>
      <c r="AR153" s="196"/>
      <c r="AS153" s="196"/>
      <c r="AT153" s="196"/>
      <c r="AU153" s="196"/>
      <c r="AV153" s="196"/>
      <c r="AW153" s="196"/>
      <c r="AX153" s="198"/>
      <c r="AY153" s="164"/>
      <c r="AZ153" s="23"/>
      <c r="BA153" s="23"/>
      <c r="BB153" s="23"/>
      <c r="BC153" s="23"/>
      <c r="BD153" s="23"/>
      <c r="BE153" s="23"/>
      <c r="BF153" s="23"/>
      <c r="BG153" s="23"/>
      <c r="BH153" s="23"/>
      <c r="BI153" s="23"/>
      <c r="BJ153" s="23"/>
      <c r="BK153" s="23"/>
      <c r="BL153" s="23"/>
      <c r="BM153" s="23"/>
      <c r="BN153" s="23"/>
    </row>
    <row r="154" spans="1:66">
      <c r="A154" s="23"/>
      <c r="B154" s="100"/>
      <c r="C154" s="6"/>
      <c r="D154" s="6"/>
      <c r="E154" s="87"/>
      <c r="F154" s="93"/>
      <c r="G154" s="87"/>
      <c r="H154" s="194"/>
      <c r="I154" s="181"/>
      <c r="J154" s="6"/>
      <c r="K154" s="6"/>
      <c r="L154" s="175"/>
      <c r="M154" s="197"/>
      <c r="N154" s="273"/>
      <c r="O154" s="196"/>
      <c r="P154" s="196"/>
      <c r="Q154" s="196"/>
      <c r="R154" s="196"/>
      <c r="S154" s="196"/>
      <c r="T154" s="196"/>
      <c r="U154" s="196"/>
      <c r="V154" s="196"/>
      <c r="W154" s="196"/>
      <c r="X154" s="196"/>
      <c r="Y154" s="196"/>
      <c r="Z154" s="196"/>
      <c r="AA154" s="196"/>
      <c r="AB154" s="196"/>
      <c r="AC154" s="196"/>
      <c r="AD154" s="181"/>
      <c r="AE154" s="6"/>
      <c r="AF154" s="6"/>
      <c r="AG154" s="6"/>
      <c r="AH154" s="6"/>
      <c r="AI154" s="6"/>
      <c r="AJ154" s="6"/>
      <c r="AK154" s="6"/>
      <c r="AL154" s="6"/>
      <c r="AM154" s="30"/>
      <c r="AN154" s="198"/>
      <c r="AO154" s="196"/>
      <c r="AP154" s="196"/>
      <c r="AQ154" s="196"/>
      <c r="AR154" s="196"/>
      <c r="AS154" s="196"/>
      <c r="AT154" s="196"/>
      <c r="AU154" s="196"/>
      <c r="AV154" s="196"/>
      <c r="AW154" s="196"/>
      <c r="AX154" s="198"/>
      <c r="AY154" s="164"/>
      <c r="AZ154" s="23"/>
      <c r="BA154" s="23"/>
      <c r="BB154" s="23"/>
      <c r="BC154" s="23"/>
      <c r="BD154" s="23"/>
      <c r="BE154" s="23"/>
      <c r="BF154" s="23"/>
      <c r="BG154" s="23"/>
      <c r="BH154" s="23"/>
      <c r="BI154" s="23"/>
      <c r="BJ154" s="23"/>
      <c r="BK154" s="23"/>
      <c r="BL154" s="23"/>
      <c r="BM154" s="23"/>
      <c r="BN154" s="23"/>
    </row>
    <row r="155" spans="1:66">
      <c r="A155" s="23"/>
      <c r="B155" s="100"/>
      <c r="C155" s="6"/>
      <c r="D155" s="6"/>
      <c r="E155" s="87"/>
      <c r="F155" s="93"/>
      <c r="G155" s="87"/>
      <c r="H155" s="194"/>
      <c r="I155" s="181"/>
      <c r="J155" s="6"/>
      <c r="K155" s="6"/>
      <c r="L155" s="175"/>
      <c r="M155" s="197"/>
      <c r="N155" s="273"/>
      <c r="O155" s="196"/>
      <c r="P155" s="196"/>
      <c r="Q155" s="196"/>
      <c r="R155" s="196"/>
      <c r="S155" s="196"/>
      <c r="T155" s="196"/>
      <c r="U155" s="196"/>
      <c r="V155" s="196"/>
      <c r="W155" s="196"/>
      <c r="X155" s="196"/>
      <c r="Y155" s="196"/>
      <c r="Z155" s="196"/>
      <c r="AA155" s="196"/>
      <c r="AB155" s="196"/>
      <c r="AC155" s="196"/>
      <c r="AD155" s="181"/>
      <c r="AE155" s="6"/>
      <c r="AF155" s="6"/>
      <c r="AG155" s="6"/>
      <c r="AH155" s="6"/>
      <c r="AI155" s="6"/>
      <c r="AJ155" s="6"/>
      <c r="AK155" s="6"/>
      <c r="AL155" s="6"/>
      <c r="AM155" s="30"/>
      <c r="AN155" s="198"/>
      <c r="AO155" s="196"/>
      <c r="AP155" s="196"/>
      <c r="AQ155" s="196"/>
      <c r="AR155" s="196"/>
      <c r="AS155" s="196"/>
      <c r="AT155" s="196"/>
      <c r="AU155" s="196"/>
      <c r="AV155" s="196"/>
      <c r="AW155" s="196"/>
      <c r="AX155" s="198"/>
      <c r="AY155" s="164"/>
      <c r="AZ155" s="23"/>
      <c r="BA155" s="23"/>
      <c r="BB155" s="23"/>
      <c r="BC155" s="23"/>
      <c r="BD155" s="23"/>
      <c r="BE155" s="23"/>
      <c r="BF155" s="23"/>
      <c r="BG155" s="23"/>
      <c r="BH155" s="23"/>
      <c r="BI155" s="23"/>
      <c r="BJ155" s="23"/>
      <c r="BK155" s="23"/>
      <c r="BL155" s="23"/>
      <c r="BM155" s="23"/>
      <c r="BN155" s="23"/>
    </row>
    <row r="156" spans="1:66">
      <c r="A156" s="23"/>
      <c r="B156" s="100"/>
      <c r="C156" s="6"/>
      <c r="D156" s="6"/>
      <c r="E156" s="87"/>
      <c r="F156" s="93"/>
      <c r="G156" s="87"/>
      <c r="H156" s="194"/>
      <c r="I156" s="181"/>
      <c r="J156" s="6"/>
      <c r="K156" s="6"/>
      <c r="L156" s="175"/>
      <c r="M156" s="197"/>
      <c r="N156" s="273"/>
      <c r="O156" s="196"/>
      <c r="P156" s="196"/>
      <c r="Q156" s="196"/>
      <c r="R156" s="196"/>
      <c r="S156" s="196"/>
      <c r="T156" s="196"/>
      <c r="U156" s="196"/>
      <c r="V156" s="196"/>
      <c r="W156" s="196"/>
      <c r="X156" s="196"/>
      <c r="Y156" s="196"/>
      <c r="Z156" s="196"/>
      <c r="AA156" s="196"/>
      <c r="AB156" s="196"/>
      <c r="AC156" s="196"/>
      <c r="AD156" s="181"/>
      <c r="AE156" s="6"/>
      <c r="AF156" s="6"/>
      <c r="AG156" s="6"/>
      <c r="AH156" s="6"/>
      <c r="AI156" s="6"/>
      <c r="AJ156" s="6"/>
      <c r="AK156" s="6"/>
      <c r="AL156" s="6"/>
      <c r="AM156" s="30"/>
      <c r="AN156" s="198"/>
      <c r="AO156" s="196"/>
      <c r="AP156" s="196"/>
      <c r="AQ156" s="196"/>
      <c r="AR156" s="196"/>
      <c r="AS156" s="196"/>
      <c r="AT156" s="196"/>
      <c r="AU156" s="196"/>
      <c r="AV156" s="196"/>
      <c r="AW156" s="196"/>
      <c r="AX156" s="198"/>
      <c r="AY156" s="164"/>
      <c r="AZ156" s="23"/>
      <c r="BA156" s="23"/>
      <c r="BB156" s="23"/>
      <c r="BC156" s="23"/>
      <c r="BD156" s="23"/>
      <c r="BE156" s="23"/>
      <c r="BF156" s="23"/>
      <c r="BG156" s="23"/>
      <c r="BH156" s="23"/>
      <c r="BI156" s="23"/>
      <c r="BJ156" s="23"/>
      <c r="BK156" s="23"/>
      <c r="BL156" s="23"/>
      <c r="BM156" s="23"/>
      <c r="BN156" s="23"/>
    </row>
    <row r="157" spans="1:66">
      <c r="A157" s="23"/>
      <c r="B157" s="100"/>
      <c r="C157" s="6"/>
      <c r="D157" s="6"/>
      <c r="E157" s="87"/>
      <c r="F157" s="93"/>
      <c r="G157" s="87"/>
      <c r="H157" s="194"/>
      <c r="I157" s="181"/>
      <c r="J157" s="6"/>
      <c r="K157" s="6"/>
      <c r="L157" s="175"/>
      <c r="M157" s="197"/>
      <c r="N157" s="273"/>
      <c r="O157" s="196"/>
      <c r="P157" s="196"/>
      <c r="Q157" s="196"/>
      <c r="R157" s="196"/>
      <c r="S157" s="196"/>
      <c r="T157" s="196"/>
      <c r="U157" s="196"/>
      <c r="V157" s="196"/>
      <c r="W157" s="196"/>
      <c r="X157" s="196"/>
      <c r="Y157" s="196"/>
      <c r="Z157" s="196"/>
      <c r="AA157" s="196"/>
      <c r="AB157" s="196"/>
      <c r="AC157" s="196"/>
      <c r="AD157" s="181"/>
      <c r="AE157" s="6"/>
      <c r="AF157" s="6"/>
      <c r="AG157" s="6"/>
      <c r="AH157" s="6"/>
      <c r="AI157" s="6"/>
      <c r="AJ157" s="6"/>
      <c r="AK157" s="6"/>
      <c r="AL157" s="6"/>
      <c r="AM157" s="30"/>
      <c r="AN157" s="198"/>
      <c r="AO157" s="196"/>
      <c r="AP157" s="196"/>
      <c r="AQ157" s="196"/>
      <c r="AR157" s="196"/>
      <c r="AS157" s="196"/>
      <c r="AT157" s="196"/>
      <c r="AU157" s="196"/>
      <c r="AV157" s="196"/>
      <c r="AW157" s="196"/>
      <c r="AX157" s="198"/>
      <c r="AY157" s="164"/>
      <c r="AZ157" s="23"/>
      <c r="BA157" s="23"/>
      <c r="BB157" s="23"/>
      <c r="BC157" s="23"/>
      <c r="BD157" s="23"/>
      <c r="BE157" s="23"/>
      <c r="BF157" s="23"/>
      <c r="BG157" s="23"/>
      <c r="BH157" s="23"/>
      <c r="BI157" s="23"/>
      <c r="BJ157" s="23"/>
      <c r="BK157" s="23"/>
      <c r="BL157" s="23"/>
      <c r="BM157" s="23"/>
      <c r="BN157" s="23"/>
    </row>
    <row r="158" spans="1:66">
      <c r="A158" s="23"/>
      <c r="B158" s="100"/>
      <c r="C158" s="6"/>
      <c r="D158" s="6"/>
      <c r="E158" s="87"/>
      <c r="F158" s="93"/>
      <c r="G158" s="87"/>
      <c r="H158" s="194"/>
      <c r="I158" s="181"/>
      <c r="J158" s="6"/>
      <c r="K158" s="6"/>
      <c r="L158" s="175"/>
      <c r="M158" s="197"/>
      <c r="N158" s="273"/>
      <c r="O158" s="196"/>
      <c r="P158" s="196"/>
      <c r="Q158" s="196"/>
      <c r="R158" s="196"/>
      <c r="S158" s="196"/>
      <c r="T158" s="196"/>
      <c r="U158" s="196"/>
      <c r="V158" s="196"/>
      <c r="W158" s="196"/>
      <c r="X158" s="196"/>
      <c r="Y158" s="196"/>
      <c r="Z158" s="196"/>
      <c r="AA158" s="196"/>
      <c r="AB158" s="196"/>
      <c r="AC158" s="196"/>
      <c r="AD158" s="181"/>
      <c r="AE158" s="6"/>
      <c r="AF158" s="6"/>
      <c r="AG158" s="6"/>
      <c r="AH158" s="6"/>
      <c r="AI158" s="6"/>
      <c r="AJ158" s="6"/>
      <c r="AK158" s="6"/>
      <c r="AL158" s="6"/>
      <c r="AM158" s="30"/>
      <c r="AN158" s="198"/>
      <c r="AO158" s="196"/>
      <c r="AP158" s="196"/>
      <c r="AQ158" s="196"/>
      <c r="AR158" s="196"/>
      <c r="AS158" s="196"/>
      <c r="AT158" s="196"/>
      <c r="AU158" s="196"/>
      <c r="AV158" s="196"/>
      <c r="AW158" s="196"/>
      <c r="AX158" s="198"/>
      <c r="AY158" s="164"/>
      <c r="AZ158" s="23"/>
      <c r="BA158" s="23"/>
      <c r="BB158" s="23"/>
      <c r="BC158" s="23"/>
      <c r="BD158" s="23"/>
      <c r="BE158" s="23"/>
      <c r="BF158" s="23"/>
      <c r="BG158" s="23"/>
      <c r="BH158" s="23"/>
      <c r="BI158" s="23"/>
      <c r="BJ158" s="23"/>
      <c r="BK158" s="23"/>
      <c r="BL158" s="23"/>
      <c r="BM158" s="23"/>
      <c r="BN158" s="23"/>
    </row>
    <row r="159" spans="1:66">
      <c r="A159" s="23"/>
      <c r="B159" s="100"/>
      <c r="C159" s="6"/>
      <c r="D159" s="6"/>
      <c r="E159" s="87"/>
      <c r="F159" s="93"/>
      <c r="G159" s="87"/>
      <c r="H159" s="194"/>
      <c r="I159" s="181"/>
      <c r="J159" s="6"/>
      <c r="K159" s="6"/>
      <c r="L159" s="175"/>
      <c r="M159" s="197"/>
      <c r="N159" s="273"/>
      <c r="O159" s="196"/>
      <c r="P159" s="196"/>
      <c r="Q159" s="196"/>
      <c r="R159" s="196"/>
      <c r="S159" s="196"/>
      <c r="T159" s="196"/>
      <c r="U159" s="196"/>
      <c r="V159" s="196"/>
      <c r="W159" s="196"/>
      <c r="X159" s="196"/>
      <c r="Y159" s="196"/>
      <c r="Z159" s="196"/>
      <c r="AA159" s="196"/>
      <c r="AB159" s="196"/>
      <c r="AC159" s="196"/>
      <c r="AD159" s="181"/>
      <c r="AE159" s="6"/>
      <c r="AF159" s="6"/>
      <c r="AG159" s="6"/>
      <c r="AH159" s="6"/>
      <c r="AI159" s="6"/>
      <c r="AJ159" s="6"/>
      <c r="AK159" s="6"/>
      <c r="AL159" s="6"/>
      <c r="AM159" s="30"/>
      <c r="AN159" s="198"/>
      <c r="AO159" s="196"/>
      <c r="AP159" s="196"/>
      <c r="AQ159" s="196"/>
      <c r="AR159" s="196"/>
      <c r="AS159" s="196"/>
      <c r="AT159" s="196"/>
      <c r="AU159" s="196"/>
      <c r="AV159" s="196"/>
      <c r="AW159" s="196"/>
      <c r="AX159" s="198"/>
      <c r="AY159" s="164"/>
      <c r="AZ159" s="23"/>
      <c r="BA159" s="23"/>
      <c r="BB159" s="23"/>
      <c r="BC159" s="23"/>
      <c r="BD159" s="23"/>
      <c r="BE159" s="23"/>
      <c r="BF159" s="23"/>
      <c r="BG159" s="23"/>
      <c r="BH159" s="23"/>
      <c r="BI159" s="23"/>
      <c r="BJ159" s="23"/>
      <c r="BK159" s="23"/>
      <c r="BL159" s="23"/>
      <c r="BM159" s="23"/>
      <c r="BN159" s="23"/>
    </row>
    <row r="160" spans="1:66">
      <c r="A160" s="23"/>
      <c r="B160" s="100"/>
      <c r="C160" s="6"/>
      <c r="D160" s="6"/>
      <c r="E160" s="87"/>
      <c r="F160" s="93"/>
      <c r="G160" s="87"/>
      <c r="H160" s="194"/>
      <c r="I160" s="181"/>
      <c r="J160" s="6"/>
      <c r="K160" s="6"/>
      <c r="L160" s="175"/>
      <c r="M160" s="197"/>
      <c r="N160" s="273"/>
      <c r="O160" s="196"/>
      <c r="P160" s="196"/>
      <c r="Q160" s="196"/>
      <c r="R160" s="196"/>
      <c r="S160" s="196"/>
      <c r="T160" s="196"/>
      <c r="U160" s="196"/>
      <c r="V160" s="196"/>
      <c r="W160" s="196"/>
      <c r="X160" s="196"/>
      <c r="Y160" s="196"/>
      <c r="Z160" s="196"/>
      <c r="AA160" s="196"/>
      <c r="AB160" s="196"/>
      <c r="AC160" s="196"/>
      <c r="AD160" s="181"/>
      <c r="AE160" s="6"/>
      <c r="AF160" s="6"/>
      <c r="AG160" s="6"/>
      <c r="AH160" s="6"/>
      <c r="AI160" s="6"/>
      <c r="AJ160" s="6"/>
      <c r="AK160" s="6"/>
      <c r="AL160" s="6"/>
      <c r="AM160" s="30"/>
      <c r="AN160" s="198"/>
      <c r="AO160" s="196"/>
      <c r="AP160" s="196"/>
      <c r="AQ160" s="196"/>
      <c r="AR160" s="196"/>
      <c r="AS160" s="196"/>
      <c r="AT160" s="196"/>
      <c r="AU160" s="196"/>
      <c r="AV160" s="196"/>
      <c r="AW160" s="196"/>
      <c r="AX160" s="198"/>
      <c r="AY160" s="164"/>
      <c r="AZ160" s="23"/>
      <c r="BA160" s="23"/>
      <c r="BB160" s="23"/>
      <c r="BC160" s="23"/>
      <c r="BD160" s="23"/>
      <c r="BE160" s="23"/>
      <c r="BF160" s="23"/>
      <c r="BG160" s="23"/>
      <c r="BH160" s="23"/>
      <c r="BI160" s="23"/>
      <c r="BJ160" s="23"/>
      <c r="BK160" s="23"/>
      <c r="BL160" s="23"/>
      <c r="BM160" s="23"/>
      <c r="BN160" s="23"/>
    </row>
    <row r="161" spans="1:66">
      <c r="A161" s="23"/>
      <c r="B161" s="100"/>
      <c r="C161" s="6"/>
      <c r="D161" s="6"/>
      <c r="E161" s="87"/>
      <c r="F161" s="93"/>
      <c r="G161" s="87"/>
      <c r="H161" s="194"/>
      <c r="I161" s="181"/>
      <c r="J161" s="6"/>
      <c r="K161" s="6"/>
      <c r="L161" s="175"/>
      <c r="M161" s="197"/>
      <c r="N161" s="273"/>
      <c r="O161" s="196"/>
      <c r="P161" s="196"/>
      <c r="Q161" s="196"/>
      <c r="R161" s="196"/>
      <c r="S161" s="196"/>
      <c r="T161" s="196"/>
      <c r="U161" s="196"/>
      <c r="V161" s="196"/>
      <c r="W161" s="196"/>
      <c r="X161" s="196"/>
      <c r="Y161" s="196"/>
      <c r="Z161" s="196"/>
      <c r="AA161" s="196"/>
      <c r="AB161" s="196"/>
      <c r="AC161" s="196"/>
      <c r="AD161" s="181"/>
      <c r="AE161" s="6"/>
      <c r="AF161" s="6"/>
      <c r="AG161" s="6"/>
      <c r="AH161" s="6"/>
      <c r="AI161" s="6"/>
      <c r="AJ161" s="6"/>
      <c r="AK161" s="6"/>
      <c r="AL161" s="6"/>
      <c r="AM161" s="30"/>
      <c r="AN161" s="198"/>
      <c r="AO161" s="196"/>
      <c r="AP161" s="196"/>
      <c r="AQ161" s="196"/>
      <c r="AR161" s="196"/>
      <c r="AS161" s="196"/>
      <c r="AT161" s="196"/>
      <c r="AU161" s="196"/>
      <c r="AV161" s="196"/>
      <c r="AW161" s="196"/>
      <c r="AX161" s="198"/>
      <c r="AY161" s="164"/>
      <c r="AZ161" s="23"/>
      <c r="BA161" s="23"/>
      <c r="BB161" s="23"/>
      <c r="BC161" s="23"/>
      <c r="BD161" s="23"/>
      <c r="BE161" s="23"/>
      <c r="BF161" s="23"/>
      <c r="BG161" s="23"/>
      <c r="BH161" s="23"/>
      <c r="BI161" s="23"/>
      <c r="BJ161" s="23"/>
      <c r="BK161" s="23"/>
      <c r="BL161" s="23"/>
      <c r="BM161" s="23"/>
      <c r="BN161" s="23"/>
    </row>
    <row r="162" spans="1:66">
      <c r="A162" s="23"/>
      <c r="B162" s="100"/>
      <c r="C162" s="6"/>
      <c r="D162" s="6"/>
      <c r="E162" s="87"/>
      <c r="F162" s="93"/>
      <c r="G162" s="87"/>
      <c r="H162" s="194"/>
      <c r="I162" s="181"/>
      <c r="J162" s="6"/>
      <c r="K162" s="6"/>
      <c r="L162" s="175"/>
      <c r="M162" s="197"/>
      <c r="N162" s="273"/>
      <c r="O162" s="196"/>
      <c r="P162" s="196"/>
      <c r="Q162" s="196"/>
      <c r="R162" s="196"/>
      <c r="S162" s="196"/>
      <c r="T162" s="196"/>
      <c r="U162" s="196"/>
      <c r="V162" s="196"/>
      <c r="W162" s="196"/>
      <c r="X162" s="196"/>
      <c r="Y162" s="196"/>
      <c r="Z162" s="196"/>
      <c r="AA162" s="196"/>
      <c r="AB162" s="196"/>
      <c r="AC162" s="196"/>
      <c r="AD162" s="181"/>
      <c r="AE162" s="6"/>
      <c r="AF162" s="6"/>
      <c r="AG162" s="6"/>
      <c r="AH162" s="6"/>
      <c r="AI162" s="6"/>
      <c r="AJ162" s="6"/>
      <c r="AK162" s="6"/>
      <c r="AL162" s="6"/>
      <c r="AM162" s="30"/>
      <c r="AN162" s="198"/>
      <c r="AO162" s="196"/>
      <c r="AP162" s="196"/>
      <c r="AQ162" s="196"/>
      <c r="AR162" s="196"/>
      <c r="AS162" s="196"/>
      <c r="AT162" s="196"/>
      <c r="AU162" s="196"/>
      <c r="AV162" s="196"/>
      <c r="AW162" s="196"/>
      <c r="AX162" s="198"/>
      <c r="AY162" s="164"/>
      <c r="AZ162" s="23"/>
      <c r="BA162" s="23"/>
      <c r="BB162" s="23"/>
      <c r="BC162" s="23"/>
      <c r="BD162" s="23"/>
      <c r="BE162" s="23"/>
      <c r="BF162" s="23"/>
      <c r="BG162" s="23"/>
      <c r="BH162" s="23"/>
      <c r="BI162" s="23"/>
      <c r="BJ162" s="23"/>
      <c r="BK162" s="23"/>
      <c r="BL162" s="23"/>
      <c r="BM162" s="23"/>
      <c r="BN162" s="23"/>
    </row>
    <row r="163" spans="1:66">
      <c r="A163" s="23"/>
      <c r="B163" s="100"/>
      <c r="C163" s="6"/>
      <c r="D163" s="6"/>
      <c r="E163" s="87"/>
      <c r="F163" s="93"/>
      <c r="G163" s="87"/>
      <c r="H163" s="194"/>
      <c r="I163" s="181"/>
      <c r="J163" s="6"/>
      <c r="K163" s="6"/>
      <c r="L163" s="175"/>
      <c r="M163" s="197"/>
      <c r="N163" s="273"/>
      <c r="O163" s="196"/>
      <c r="P163" s="196"/>
      <c r="Q163" s="196"/>
      <c r="R163" s="196"/>
      <c r="S163" s="196"/>
      <c r="T163" s="196"/>
      <c r="U163" s="196"/>
      <c r="V163" s="196"/>
      <c r="W163" s="196"/>
      <c r="X163" s="196"/>
      <c r="Y163" s="196"/>
      <c r="Z163" s="196"/>
      <c r="AA163" s="196"/>
      <c r="AB163" s="196"/>
      <c r="AC163" s="196"/>
      <c r="AD163" s="181"/>
      <c r="AE163" s="6"/>
      <c r="AF163" s="6"/>
      <c r="AG163" s="6"/>
      <c r="AH163" s="6"/>
      <c r="AI163" s="6"/>
      <c r="AJ163" s="6"/>
      <c r="AK163" s="6"/>
      <c r="AL163" s="6"/>
      <c r="AM163" s="30"/>
      <c r="AN163" s="198"/>
      <c r="AO163" s="196"/>
      <c r="AP163" s="196"/>
      <c r="AQ163" s="196"/>
      <c r="AR163" s="196"/>
      <c r="AS163" s="196"/>
      <c r="AT163" s="196"/>
      <c r="AU163" s="196"/>
      <c r="AV163" s="196"/>
      <c r="AW163" s="196"/>
      <c r="AX163" s="198"/>
      <c r="AY163" s="164"/>
      <c r="AZ163" s="23"/>
      <c r="BA163" s="23"/>
      <c r="BB163" s="23"/>
      <c r="BC163" s="23"/>
      <c r="BD163" s="23"/>
      <c r="BE163" s="23"/>
      <c r="BF163" s="23"/>
      <c r="BG163" s="23"/>
      <c r="BH163" s="23"/>
      <c r="BI163" s="23"/>
      <c r="BJ163" s="23"/>
      <c r="BK163" s="23"/>
      <c r="BL163" s="23"/>
      <c r="BM163" s="23"/>
      <c r="BN163" s="23"/>
    </row>
    <row r="164" spans="1:66">
      <c r="A164" s="23"/>
      <c r="B164" s="100"/>
      <c r="C164" s="6"/>
      <c r="D164" s="6"/>
      <c r="E164" s="87"/>
      <c r="F164" s="93"/>
      <c r="G164" s="87"/>
      <c r="H164" s="194"/>
      <c r="I164" s="181"/>
      <c r="J164" s="6"/>
      <c r="K164" s="6"/>
      <c r="L164" s="175"/>
      <c r="M164" s="197"/>
      <c r="N164" s="273"/>
      <c r="O164" s="196"/>
      <c r="P164" s="196"/>
      <c r="Q164" s="196"/>
      <c r="R164" s="196"/>
      <c r="S164" s="196"/>
      <c r="T164" s="196"/>
      <c r="U164" s="196"/>
      <c r="V164" s="196"/>
      <c r="W164" s="196"/>
      <c r="X164" s="196"/>
      <c r="Y164" s="196"/>
      <c r="Z164" s="196"/>
      <c r="AA164" s="196"/>
      <c r="AB164" s="196"/>
      <c r="AC164" s="196"/>
      <c r="AD164" s="181"/>
      <c r="AE164" s="6"/>
      <c r="AF164" s="6"/>
      <c r="AG164" s="6"/>
      <c r="AH164" s="6"/>
      <c r="AI164" s="6"/>
      <c r="AJ164" s="6"/>
      <c r="AK164" s="6"/>
      <c r="AL164" s="6"/>
      <c r="AM164" s="30"/>
      <c r="AN164" s="198"/>
      <c r="AO164" s="196"/>
      <c r="AP164" s="196"/>
      <c r="AQ164" s="196"/>
      <c r="AR164" s="196"/>
      <c r="AS164" s="196"/>
      <c r="AT164" s="196"/>
      <c r="AU164" s="196"/>
      <c r="AV164" s="196"/>
      <c r="AW164" s="196"/>
      <c r="AX164" s="198"/>
      <c r="AY164" s="164"/>
      <c r="AZ164" s="23"/>
      <c r="BA164" s="23"/>
      <c r="BB164" s="23"/>
      <c r="BC164" s="23"/>
      <c r="BD164" s="23"/>
      <c r="BE164" s="23"/>
      <c r="BF164" s="23"/>
      <c r="BG164" s="23"/>
      <c r="BH164" s="23"/>
      <c r="BI164" s="23"/>
      <c r="BJ164" s="23"/>
      <c r="BK164" s="23"/>
      <c r="BL164" s="23"/>
      <c r="BM164" s="23"/>
      <c r="BN164" s="23"/>
    </row>
    <row r="165" spans="1:66">
      <c r="A165" s="23"/>
      <c r="B165" s="100"/>
      <c r="C165" s="6"/>
      <c r="D165" s="6"/>
      <c r="E165" s="87"/>
      <c r="F165" s="93"/>
      <c r="G165" s="87"/>
      <c r="H165" s="194"/>
      <c r="I165" s="181"/>
      <c r="J165" s="6"/>
      <c r="K165" s="6"/>
      <c r="L165" s="175"/>
      <c r="M165" s="197"/>
      <c r="N165" s="273"/>
      <c r="O165" s="196"/>
      <c r="P165" s="196"/>
      <c r="Q165" s="196"/>
      <c r="R165" s="196"/>
      <c r="S165" s="196"/>
      <c r="T165" s="196"/>
      <c r="U165" s="196"/>
      <c r="V165" s="196"/>
      <c r="W165" s="196"/>
      <c r="X165" s="196"/>
      <c r="Y165" s="196"/>
      <c r="Z165" s="196"/>
      <c r="AA165" s="196"/>
      <c r="AB165" s="196"/>
      <c r="AC165" s="196"/>
      <c r="AD165" s="181"/>
      <c r="AE165" s="6"/>
      <c r="AF165" s="6"/>
      <c r="AG165" s="6"/>
      <c r="AH165" s="6"/>
      <c r="AI165" s="6"/>
      <c r="AJ165" s="6"/>
      <c r="AK165" s="6"/>
      <c r="AL165" s="6"/>
      <c r="AM165" s="30"/>
      <c r="AN165" s="198"/>
      <c r="AO165" s="196"/>
      <c r="AP165" s="196"/>
      <c r="AQ165" s="196"/>
      <c r="AR165" s="196"/>
      <c r="AS165" s="196"/>
      <c r="AT165" s="196"/>
      <c r="AU165" s="196"/>
      <c r="AV165" s="196"/>
      <c r="AW165" s="196"/>
      <c r="AX165" s="198"/>
      <c r="AY165" s="164"/>
      <c r="AZ165" s="23"/>
      <c r="BA165" s="23"/>
      <c r="BB165" s="23"/>
      <c r="BC165" s="23"/>
      <c r="BD165" s="23"/>
      <c r="BE165" s="23"/>
      <c r="BF165" s="23"/>
      <c r="BG165" s="23"/>
      <c r="BH165" s="23"/>
      <c r="BI165" s="23"/>
      <c r="BJ165" s="23"/>
      <c r="BK165" s="23"/>
      <c r="BL165" s="23"/>
      <c r="BM165" s="23"/>
      <c r="BN165" s="23"/>
    </row>
    <row r="166" spans="1:66">
      <c r="A166" s="23"/>
      <c r="B166" s="100"/>
      <c r="C166" s="6"/>
      <c r="D166" s="6"/>
      <c r="E166" s="87"/>
      <c r="F166" s="93"/>
      <c r="G166" s="87"/>
      <c r="H166" s="194"/>
      <c r="I166" s="181"/>
      <c r="J166" s="6"/>
      <c r="K166" s="6"/>
      <c r="L166" s="175"/>
      <c r="M166" s="197"/>
      <c r="N166" s="273"/>
      <c r="O166" s="196"/>
      <c r="P166" s="196"/>
      <c r="Q166" s="196"/>
      <c r="R166" s="196"/>
      <c r="S166" s="196"/>
      <c r="T166" s="196"/>
      <c r="U166" s="196"/>
      <c r="V166" s="196"/>
      <c r="W166" s="196"/>
      <c r="X166" s="196"/>
      <c r="Y166" s="196"/>
      <c r="Z166" s="196"/>
      <c r="AA166" s="196"/>
      <c r="AB166" s="196"/>
      <c r="AC166" s="196"/>
      <c r="AD166" s="181"/>
      <c r="AE166" s="6"/>
      <c r="AF166" s="6"/>
      <c r="AG166" s="6"/>
      <c r="AH166" s="6"/>
      <c r="AI166" s="6"/>
      <c r="AJ166" s="6"/>
      <c r="AK166" s="6"/>
      <c r="AL166" s="6"/>
      <c r="AM166" s="30"/>
      <c r="AN166" s="198"/>
      <c r="AO166" s="196"/>
      <c r="AP166" s="196"/>
      <c r="AQ166" s="196"/>
      <c r="AR166" s="196"/>
      <c r="AS166" s="196"/>
      <c r="AT166" s="196"/>
      <c r="AU166" s="196"/>
      <c r="AV166" s="196"/>
      <c r="AW166" s="196"/>
      <c r="AX166" s="198"/>
      <c r="AY166" s="164"/>
      <c r="AZ166" s="23"/>
      <c r="BA166" s="23"/>
      <c r="BB166" s="23"/>
      <c r="BC166" s="23"/>
      <c r="BD166" s="23"/>
      <c r="BE166" s="23"/>
      <c r="BF166" s="23"/>
      <c r="BG166" s="23"/>
      <c r="BH166" s="23"/>
      <c r="BI166" s="23"/>
      <c r="BJ166" s="23"/>
      <c r="BK166" s="23"/>
      <c r="BL166" s="23"/>
      <c r="BM166" s="23"/>
      <c r="BN166" s="23"/>
    </row>
    <row r="167" spans="1:66">
      <c r="A167" s="23"/>
      <c r="B167" s="100"/>
      <c r="C167" s="6"/>
      <c r="D167" s="6"/>
      <c r="E167" s="87"/>
      <c r="F167" s="93"/>
      <c r="G167" s="87"/>
      <c r="H167" s="194"/>
      <c r="I167" s="181"/>
      <c r="J167" s="6"/>
      <c r="K167" s="6"/>
      <c r="L167" s="175"/>
      <c r="M167" s="197"/>
      <c r="N167" s="273"/>
      <c r="O167" s="196"/>
      <c r="P167" s="196"/>
      <c r="Q167" s="196"/>
      <c r="R167" s="196"/>
      <c r="S167" s="196"/>
      <c r="T167" s="196"/>
      <c r="U167" s="196"/>
      <c r="V167" s="196"/>
      <c r="W167" s="196"/>
      <c r="X167" s="196"/>
      <c r="Y167" s="196"/>
      <c r="Z167" s="196"/>
      <c r="AA167" s="196"/>
      <c r="AB167" s="196"/>
      <c r="AC167" s="196"/>
      <c r="AD167" s="181"/>
      <c r="AE167" s="6"/>
      <c r="AF167" s="6"/>
      <c r="AG167" s="6"/>
      <c r="AH167" s="6"/>
      <c r="AI167" s="6"/>
      <c r="AJ167" s="6"/>
      <c r="AK167" s="6"/>
      <c r="AL167" s="6"/>
      <c r="AM167" s="30"/>
      <c r="AN167" s="198"/>
      <c r="AO167" s="196"/>
      <c r="AP167" s="196"/>
      <c r="AQ167" s="196"/>
      <c r="AR167" s="196"/>
      <c r="AS167" s="196"/>
      <c r="AT167" s="196"/>
      <c r="AU167" s="196"/>
      <c r="AV167" s="196"/>
      <c r="AW167" s="196"/>
      <c r="AX167" s="198"/>
      <c r="AY167" s="164"/>
      <c r="AZ167" s="23"/>
      <c r="BA167" s="23"/>
      <c r="BB167" s="23"/>
      <c r="BC167" s="23"/>
      <c r="BD167" s="23"/>
      <c r="BE167" s="23"/>
      <c r="BF167" s="23"/>
      <c r="BG167" s="23"/>
      <c r="BH167" s="23"/>
      <c r="BI167" s="23"/>
      <c r="BJ167" s="23"/>
      <c r="BK167" s="23"/>
      <c r="BL167" s="23"/>
      <c r="BM167" s="23"/>
      <c r="BN167" s="23"/>
    </row>
    <row r="168" spans="1:66">
      <c r="A168" s="23"/>
      <c r="B168" s="100"/>
      <c r="C168" s="6"/>
      <c r="D168" s="6"/>
      <c r="E168" s="87"/>
      <c r="F168" s="93"/>
      <c r="G168" s="87"/>
      <c r="H168" s="194"/>
      <c r="I168" s="181"/>
      <c r="J168" s="6"/>
      <c r="K168" s="6"/>
      <c r="L168" s="175"/>
      <c r="M168" s="197"/>
      <c r="N168" s="273"/>
      <c r="O168" s="196"/>
      <c r="P168" s="196"/>
      <c r="Q168" s="196"/>
      <c r="R168" s="196"/>
      <c r="S168" s="196"/>
      <c r="T168" s="196"/>
      <c r="U168" s="196"/>
      <c r="V168" s="196"/>
      <c r="W168" s="196"/>
      <c r="X168" s="196"/>
      <c r="Y168" s="196"/>
      <c r="Z168" s="196"/>
      <c r="AA168" s="196"/>
      <c r="AB168" s="196"/>
      <c r="AC168" s="196"/>
      <c r="AD168" s="181"/>
      <c r="AE168" s="6"/>
      <c r="AF168" s="6"/>
      <c r="AG168" s="6"/>
      <c r="AH168" s="6"/>
      <c r="AI168" s="6"/>
      <c r="AJ168" s="6"/>
      <c r="AK168" s="6"/>
      <c r="AL168" s="6"/>
      <c r="AM168" s="30"/>
      <c r="AN168" s="198"/>
      <c r="AO168" s="196"/>
      <c r="AP168" s="196"/>
      <c r="AQ168" s="196"/>
      <c r="AR168" s="196"/>
      <c r="AS168" s="196"/>
      <c r="AT168" s="196"/>
      <c r="AU168" s="196"/>
      <c r="AV168" s="196"/>
      <c r="AW168" s="196"/>
      <c r="AX168" s="198"/>
      <c r="AY168" s="164"/>
      <c r="AZ168" s="23"/>
      <c r="BA168" s="23"/>
      <c r="BB168" s="23"/>
      <c r="BC168" s="23"/>
      <c r="BD168" s="23"/>
      <c r="BE168" s="23"/>
      <c r="BF168" s="23"/>
      <c r="BG168" s="23"/>
      <c r="BH168" s="23"/>
      <c r="BI168" s="23"/>
      <c r="BJ168" s="23"/>
      <c r="BK168" s="23"/>
      <c r="BL168" s="23"/>
      <c r="BM168" s="23"/>
      <c r="BN168" s="23"/>
    </row>
    <row r="169" spans="1:66">
      <c r="A169" s="23"/>
      <c r="B169" s="100"/>
      <c r="C169" s="6"/>
      <c r="D169" s="6"/>
      <c r="E169" s="87"/>
      <c r="F169" s="93"/>
      <c r="G169" s="87"/>
      <c r="H169" s="194"/>
      <c r="I169" s="181"/>
      <c r="J169" s="6"/>
      <c r="K169" s="6"/>
      <c r="L169" s="175"/>
      <c r="M169" s="197"/>
      <c r="N169" s="273"/>
      <c r="O169" s="196"/>
      <c r="P169" s="196"/>
      <c r="Q169" s="196"/>
      <c r="R169" s="196"/>
      <c r="S169" s="196"/>
      <c r="T169" s="196"/>
      <c r="U169" s="196"/>
      <c r="V169" s="196"/>
      <c r="W169" s="196"/>
      <c r="X169" s="196"/>
      <c r="Y169" s="196"/>
      <c r="Z169" s="196"/>
      <c r="AA169" s="196"/>
      <c r="AB169" s="196"/>
      <c r="AC169" s="196"/>
      <c r="AD169" s="181"/>
      <c r="AE169" s="6"/>
      <c r="AF169" s="6"/>
      <c r="AG169" s="6"/>
      <c r="AH169" s="6"/>
      <c r="AI169" s="6"/>
      <c r="AJ169" s="6"/>
      <c r="AK169" s="6"/>
      <c r="AL169" s="6"/>
      <c r="AM169" s="30"/>
      <c r="AN169" s="198"/>
      <c r="AO169" s="196"/>
      <c r="AP169" s="196"/>
      <c r="AQ169" s="196"/>
      <c r="AR169" s="196"/>
      <c r="AS169" s="196"/>
      <c r="AT169" s="196"/>
      <c r="AU169" s="196"/>
      <c r="AV169" s="196"/>
      <c r="AW169" s="196"/>
      <c r="AX169" s="198"/>
      <c r="AY169" s="164"/>
      <c r="AZ169" s="23"/>
      <c r="BA169" s="23"/>
      <c r="BB169" s="23"/>
      <c r="BC169" s="23"/>
      <c r="BD169" s="23"/>
      <c r="BE169" s="23"/>
      <c r="BF169" s="23"/>
      <c r="BG169" s="23"/>
      <c r="BH169" s="23"/>
      <c r="BI169" s="23"/>
      <c r="BJ169" s="23"/>
      <c r="BK169" s="23"/>
      <c r="BL169" s="23"/>
      <c r="BM169" s="23"/>
      <c r="BN169" s="23"/>
    </row>
    <row r="170" spans="1:66">
      <c r="A170" s="23"/>
      <c r="B170" s="100"/>
      <c r="C170" s="6"/>
      <c r="D170" s="6"/>
      <c r="E170" s="87"/>
      <c r="F170" s="93"/>
      <c r="G170" s="87"/>
      <c r="H170" s="194"/>
      <c r="I170" s="181"/>
      <c r="J170" s="6"/>
      <c r="K170" s="6"/>
      <c r="L170" s="175"/>
      <c r="M170" s="197"/>
      <c r="N170" s="273"/>
      <c r="O170" s="196"/>
      <c r="P170" s="196"/>
      <c r="Q170" s="196"/>
      <c r="R170" s="196"/>
      <c r="S170" s="196"/>
      <c r="T170" s="196"/>
      <c r="U170" s="196"/>
      <c r="V170" s="196"/>
      <c r="W170" s="196"/>
      <c r="X170" s="196"/>
      <c r="Y170" s="196"/>
      <c r="Z170" s="196"/>
      <c r="AA170" s="196"/>
      <c r="AB170" s="196"/>
      <c r="AC170" s="196"/>
      <c r="AD170" s="181"/>
      <c r="AE170" s="6"/>
      <c r="AF170" s="6"/>
      <c r="AG170" s="6"/>
      <c r="AH170" s="6"/>
      <c r="AI170" s="6"/>
      <c r="AJ170" s="6"/>
      <c r="AK170" s="6"/>
      <c r="AL170" s="6"/>
      <c r="AM170" s="30"/>
      <c r="AN170" s="198"/>
      <c r="AO170" s="196"/>
      <c r="AP170" s="196"/>
      <c r="AQ170" s="196"/>
      <c r="AR170" s="196"/>
      <c r="AS170" s="196"/>
      <c r="AT170" s="196"/>
      <c r="AU170" s="196"/>
      <c r="AV170" s="196"/>
      <c r="AW170" s="196"/>
      <c r="AX170" s="198"/>
      <c r="AY170" s="164"/>
      <c r="AZ170" s="23"/>
      <c r="BA170" s="23"/>
      <c r="BB170" s="23"/>
      <c r="BC170" s="23"/>
      <c r="BD170" s="23"/>
      <c r="BE170" s="23"/>
      <c r="BF170" s="23"/>
      <c r="BG170" s="23"/>
      <c r="BH170" s="23"/>
      <c r="BI170" s="23"/>
      <c r="BJ170" s="23"/>
      <c r="BK170" s="23"/>
      <c r="BL170" s="23"/>
      <c r="BM170" s="23"/>
      <c r="BN170" s="23"/>
    </row>
    <row r="171" spans="1:66">
      <c r="A171" s="23"/>
      <c r="B171" s="100"/>
      <c r="C171" s="6"/>
      <c r="D171" s="6"/>
      <c r="E171" s="87"/>
      <c r="F171" s="93"/>
      <c r="G171" s="87"/>
      <c r="H171" s="194"/>
      <c r="I171" s="181"/>
      <c r="J171" s="6"/>
      <c r="K171" s="6"/>
      <c r="L171" s="175"/>
      <c r="M171" s="197"/>
      <c r="N171" s="273"/>
      <c r="O171" s="196"/>
      <c r="P171" s="196"/>
      <c r="Q171" s="196"/>
      <c r="R171" s="196"/>
      <c r="S171" s="196"/>
      <c r="T171" s="196"/>
      <c r="U171" s="196"/>
      <c r="V171" s="196"/>
      <c r="W171" s="196"/>
      <c r="X171" s="196"/>
      <c r="Y171" s="196"/>
      <c r="Z171" s="196"/>
      <c r="AA171" s="196"/>
      <c r="AB171" s="196"/>
      <c r="AC171" s="196"/>
      <c r="AD171" s="181"/>
      <c r="AE171" s="6"/>
      <c r="AF171" s="6"/>
      <c r="AG171" s="6"/>
      <c r="AH171" s="6"/>
      <c r="AI171" s="6"/>
      <c r="AJ171" s="6"/>
      <c r="AK171" s="6"/>
      <c r="AL171" s="6"/>
      <c r="AM171" s="30"/>
      <c r="AN171" s="198"/>
      <c r="AO171" s="196"/>
      <c r="AP171" s="196"/>
      <c r="AQ171" s="196"/>
      <c r="AR171" s="196"/>
      <c r="AS171" s="196"/>
      <c r="AT171" s="196"/>
      <c r="AU171" s="196"/>
      <c r="AV171" s="196"/>
      <c r="AW171" s="196"/>
      <c r="AX171" s="198"/>
      <c r="AY171" s="164"/>
      <c r="AZ171" s="23"/>
      <c r="BA171" s="23"/>
      <c r="BB171" s="23"/>
      <c r="BC171" s="23"/>
      <c r="BD171" s="23"/>
      <c r="BE171" s="23"/>
      <c r="BF171" s="23"/>
      <c r="BG171" s="23"/>
      <c r="BH171" s="23"/>
      <c r="BI171" s="23"/>
      <c r="BJ171" s="23"/>
      <c r="BK171" s="23"/>
      <c r="BL171" s="23"/>
      <c r="BM171" s="23"/>
      <c r="BN171" s="23"/>
    </row>
    <row r="172" spans="1:66">
      <c r="A172" s="23"/>
      <c r="B172" s="100"/>
      <c r="C172" s="6"/>
      <c r="D172" s="6"/>
      <c r="E172" s="87"/>
      <c r="F172" s="93"/>
      <c r="G172" s="87"/>
      <c r="H172" s="194"/>
      <c r="I172" s="181"/>
      <c r="J172" s="6"/>
      <c r="K172" s="6"/>
      <c r="L172" s="175"/>
      <c r="M172" s="197"/>
      <c r="N172" s="273"/>
      <c r="O172" s="196"/>
      <c r="P172" s="196"/>
      <c r="Q172" s="196"/>
      <c r="R172" s="196"/>
      <c r="S172" s="196"/>
      <c r="T172" s="196"/>
      <c r="U172" s="196"/>
      <c r="V172" s="196"/>
      <c r="W172" s="196"/>
      <c r="X172" s="196"/>
      <c r="Y172" s="196"/>
      <c r="Z172" s="196"/>
      <c r="AA172" s="196"/>
      <c r="AB172" s="196"/>
      <c r="AC172" s="196"/>
      <c r="AD172" s="181"/>
      <c r="AE172" s="6"/>
      <c r="AF172" s="6"/>
      <c r="AG172" s="6"/>
      <c r="AH172" s="6"/>
      <c r="AI172" s="6"/>
      <c r="AJ172" s="6"/>
      <c r="AK172" s="6"/>
      <c r="AL172" s="6"/>
      <c r="AM172" s="30"/>
      <c r="AN172" s="198"/>
      <c r="AO172" s="196"/>
      <c r="AP172" s="196"/>
      <c r="AQ172" s="196"/>
      <c r="AR172" s="196"/>
      <c r="AS172" s="196"/>
      <c r="AT172" s="196"/>
      <c r="AU172" s="196"/>
      <c r="AV172" s="196"/>
      <c r="AW172" s="196"/>
      <c r="AX172" s="198"/>
      <c r="AY172" s="164"/>
      <c r="AZ172" s="23"/>
      <c r="BA172" s="23"/>
      <c r="BB172" s="23"/>
      <c r="BC172" s="23"/>
      <c r="BD172" s="23"/>
      <c r="BE172" s="23"/>
      <c r="BF172" s="23"/>
      <c r="BG172" s="23"/>
      <c r="BH172" s="23"/>
      <c r="BI172" s="23"/>
      <c r="BJ172" s="23"/>
      <c r="BK172" s="23"/>
      <c r="BL172" s="23"/>
      <c r="BM172" s="23"/>
      <c r="BN172" s="23"/>
    </row>
    <row r="173" spans="1:66">
      <c r="A173" s="23"/>
      <c r="B173" s="100"/>
      <c r="C173" s="6"/>
      <c r="D173" s="6"/>
      <c r="E173" s="87"/>
      <c r="F173" s="93"/>
      <c r="G173" s="87"/>
      <c r="H173" s="194"/>
      <c r="I173" s="181"/>
      <c r="J173" s="6"/>
      <c r="K173" s="6"/>
      <c r="L173" s="175"/>
      <c r="M173" s="197"/>
      <c r="N173" s="273"/>
      <c r="O173" s="196"/>
      <c r="P173" s="196"/>
      <c r="Q173" s="196"/>
      <c r="R173" s="196"/>
      <c r="S173" s="196"/>
      <c r="T173" s="196"/>
      <c r="U173" s="196"/>
      <c r="V173" s="196"/>
      <c r="W173" s="196"/>
      <c r="X173" s="196"/>
      <c r="Y173" s="196"/>
      <c r="Z173" s="196"/>
      <c r="AA173" s="196"/>
      <c r="AB173" s="196"/>
      <c r="AC173" s="196"/>
      <c r="AD173" s="181"/>
      <c r="AE173" s="6"/>
      <c r="AF173" s="6"/>
      <c r="AG173" s="6"/>
      <c r="AH173" s="6"/>
      <c r="AI173" s="6"/>
      <c r="AJ173" s="6"/>
      <c r="AK173" s="6"/>
      <c r="AL173" s="6"/>
      <c r="AM173" s="30"/>
      <c r="AN173" s="198"/>
      <c r="AO173" s="196"/>
      <c r="AP173" s="196"/>
      <c r="AQ173" s="196"/>
      <c r="AR173" s="196"/>
      <c r="AS173" s="196"/>
      <c r="AT173" s="196"/>
      <c r="AU173" s="196"/>
      <c r="AV173" s="196"/>
      <c r="AW173" s="196"/>
      <c r="AX173" s="198"/>
      <c r="AY173" s="164"/>
      <c r="AZ173" s="23"/>
      <c r="BA173" s="23"/>
      <c r="BB173" s="23"/>
      <c r="BC173" s="23"/>
      <c r="BD173" s="23"/>
      <c r="BE173" s="23"/>
      <c r="BF173" s="23"/>
      <c r="BG173" s="23"/>
      <c r="BH173" s="23"/>
      <c r="BI173" s="23"/>
      <c r="BJ173" s="23"/>
      <c r="BK173" s="23"/>
      <c r="BL173" s="23"/>
      <c r="BM173" s="23"/>
      <c r="BN173" s="23"/>
    </row>
    <row r="174" spans="1:66">
      <c r="A174" s="23"/>
      <c r="B174" s="100"/>
      <c r="C174" s="6"/>
      <c r="D174" s="6"/>
      <c r="E174" s="87"/>
      <c r="F174" s="93"/>
      <c r="G174" s="87"/>
      <c r="H174" s="194"/>
      <c r="I174" s="181"/>
      <c r="J174" s="6"/>
      <c r="K174" s="6"/>
      <c r="L174" s="175"/>
      <c r="M174" s="197"/>
      <c r="N174" s="273"/>
      <c r="O174" s="196"/>
      <c r="P174" s="196"/>
      <c r="Q174" s="196"/>
      <c r="R174" s="196"/>
      <c r="S174" s="196"/>
      <c r="T174" s="196"/>
      <c r="U174" s="196"/>
      <c r="V174" s="196"/>
      <c r="W174" s="196"/>
      <c r="X174" s="196"/>
      <c r="Y174" s="196"/>
      <c r="Z174" s="196"/>
      <c r="AA174" s="196"/>
      <c r="AB174" s="196"/>
      <c r="AC174" s="196"/>
      <c r="AD174" s="181"/>
      <c r="AE174" s="6"/>
      <c r="AF174" s="6"/>
      <c r="AG174" s="6"/>
      <c r="AH174" s="6"/>
      <c r="AI174" s="6"/>
      <c r="AJ174" s="6"/>
      <c r="AK174" s="6"/>
      <c r="AL174" s="6"/>
      <c r="AM174" s="30"/>
      <c r="AN174" s="198"/>
      <c r="AO174" s="196"/>
      <c r="AP174" s="196"/>
      <c r="AQ174" s="196"/>
      <c r="AR174" s="196"/>
      <c r="AS174" s="196"/>
      <c r="AT174" s="196"/>
      <c r="AU174" s="196"/>
      <c r="AV174" s="196"/>
      <c r="AW174" s="196"/>
      <c r="AX174" s="198"/>
      <c r="AY174" s="164"/>
      <c r="AZ174" s="23"/>
      <c r="BA174" s="23"/>
      <c r="BB174" s="23"/>
      <c r="BC174" s="23"/>
      <c r="BD174" s="23"/>
      <c r="BE174" s="23"/>
      <c r="BF174" s="23"/>
      <c r="BG174" s="23"/>
      <c r="BH174" s="23"/>
      <c r="BI174" s="23"/>
      <c r="BJ174" s="23"/>
      <c r="BK174" s="23"/>
      <c r="BL174" s="23"/>
      <c r="BM174" s="23"/>
      <c r="BN174" s="23"/>
    </row>
    <row r="175" spans="1:66">
      <c r="A175" s="23"/>
      <c r="B175" s="100"/>
      <c r="C175" s="6"/>
      <c r="D175" s="6"/>
      <c r="E175" s="87"/>
      <c r="F175" s="93"/>
      <c r="G175" s="87"/>
      <c r="H175" s="194"/>
      <c r="I175" s="181"/>
      <c r="J175" s="6"/>
      <c r="K175" s="6"/>
      <c r="L175" s="175"/>
      <c r="M175" s="197"/>
      <c r="N175" s="273"/>
      <c r="O175" s="196"/>
      <c r="P175" s="196"/>
      <c r="Q175" s="196"/>
      <c r="R175" s="196"/>
      <c r="S175" s="196"/>
      <c r="T175" s="196"/>
      <c r="U175" s="196"/>
      <c r="V175" s="196"/>
      <c r="W175" s="196"/>
      <c r="X175" s="196"/>
      <c r="Y175" s="196"/>
      <c r="Z175" s="196"/>
      <c r="AA175" s="196"/>
      <c r="AB175" s="196"/>
      <c r="AC175" s="196"/>
      <c r="AD175" s="181"/>
      <c r="AE175" s="6"/>
      <c r="AF175" s="6"/>
      <c r="AG175" s="6"/>
      <c r="AH175" s="6"/>
      <c r="AI175" s="6"/>
      <c r="AJ175" s="6"/>
      <c r="AK175" s="6"/>
      <c r="AL175" s="6"/>
      <c r="AM175" s="30"/>
      <c r="AN175" s="198"/>
      <c r="AO175" s="196"/>
      <c r="AP175" s="196"/>
      <c r="AQ175" s="196"/>
      <c r="AR175" s="196"/>
      <c r="AS175" s="196"/>
      <c r="AT175" s="196"/>
      <c r="AU175" s="196"/>
      <c r="AV175" s="196"/>
      <c r="AW175" s="196"/>
      <c r="AX175" s="198"/>
      <c r="AY175" s="164"/>
      <c r="AZ175" s="23"/>
      <c r="BA175" s="23"/>
      <c r="BB175" s="23"/>
      <c r="BC175" s="23"/>
      <c r="BD175" s="23"/>
      <c r="BE175" s="23"/>
      <c r="BF175" s="23"/>
      <c r="BG175" s="23"/>
      <c r="BH175" s="23"/>
      <c r="BI175" s="23"/>
      <c r="BJ175" s="23"/>
      <c r="BK175" s="23"/>
      <c r="BL175" s="23"/>
      <c r="BM175" s="23"/>
      <c r="BN175" s="23"/>
    </row>
    <row r="176" spans="1:66">
      <c r="A176" s="23"/>
      <c r="B176" s="100"/>
      <c r="C176" s="6"/>
      <c r="D176" s="6"/>
      <c r="E176" s="87"/>
      <c r="F176" s="93"/>
      <c r="G176" s="87"/>
      <c r="H176" s="194"/>
      <c r="I176" s="181"/>
      <c r="J176" s="6"/>
      <c r="K176" s="6"/>
      <c r="L176" s="175"/>
      <c r="M176" s="197"/>
      <c r="N176" s="273"/>
      <c r="O176" s="196"/>
      <c r="P176" s="196"/>
      <c r="Q176" s="196"/>
      <c r="R176" s="196"/>
      <c r="S176" s="196"/>
      <c r="T176" s="196"/>
      <c r="U176" s="196"/>
      <c r="V176" s="196"/>
      <c r="W176" s="196"/>
      <c r="X176" s="196"/>
      <c r="Y176" s="196"/>
      <c r="Z176" s="196"/>
      <c r="AA176" s="196"/>
      <c r="AB176" s="196"/>
      <c r="AC176" s="196"/>
      <c r="AD176" s="181"/>
      <c r="AE176" s="6"/>
      <c r="AF176" s="6"/>
      <c r="AG176" s="6"/>
      <c r="AH176" s="6"/>
      <c r="AI176" s="6"/>
      <c r="AJ176" s="6"/>
      <c r="AK176" s="6"/>
      <c r="AL176" s="6"/>
      <c r="AM176" s="30"/>
      <c r="AN176" s="198"/>
      <c r="AO176" s="196"/>
      <c r="AP176" s="196"/>
      <c r="AQ176" s="196"/>
      <c r="AR176" s="196"/>
      <c r="AS176" s="196"/>
      <c r="AT176" s="196"/>
      <c r="AU176" s="196"/>
      <c r="AV176" s="196"/>
      <c r="AW176" s="196"/>
      <c r="AX176" s="198"/>
      <c r="AY176" s="164"/>
      <c r="AZ176" s="23"/>
      <c r="BA176" s="23"/>
      <c r="BB176" s="23"/>
      <c r="BC176" s="23"/>
      <c r="BD176" s="23"/>
      <c r="BE176" s="23"/>
      <c r="BF176" s="23"/>
      <c r="BG176" s="23"/>
      <c r="BH176" s="23"/>
      <c r="BI176" s="23"/>
      <c r="BJ176" s="23"/>
      <c r="BK176" s="23"/>
      <c r="BL176" s="23"/>
      <c r="BM176" s="23"/>
      <c r="BN176" s="23"/>
    </row>
    <row r="177" spans="1:66">
      <c r="A177" s="23"/>
      <c r="B177" s="100"/>
      <c r="C177" s="6"/>
      <c r="D177" s="6"/>
      <c r="E177" s="87"/>
      <c r="F177" s="93"/>
      <c r="G177" s="87"/>
      <c r="H177" s="194"/>
      <c r="I177" s="181"/>
      <c r="J177" s="6"/>
      <c r="K177" s="6"/>
      <c r="L177" s="175"/>
      <c r="M177" s="197"/>
      <c r="N177" s="273"/>
      <c r="O177" s="196"/>
      <c r="P177" s="196"/>
      <c r="Q177" s="196"/>
      <c r="R177" s="196"/>
      <c r="S177" s="196"/>
      <c r="T177" s="196"/>
      <c r="U177" s="196"/>
      <c r="V177" s="196"/>
      <c r="W177" s="196"/>
      <c r="X177" s="196"/>
      <c r="Y177" s="196"/>
      <c r="Z177" s="196"/>
      <c r="AA177" s="196"/>
      <c r="AB177" s="196"/>
      <c r="AC177" s="196"/>
      <c r="AD177" s="181"/>
      <c r="AE177" s="6"/>
      <c r="AF177" s="6"/>
      <c r="AG177" s="6"/>
      <c r="AH177" s="6"/>
      <c r="AI177" s="6"/>
      <c r="AJ177" s="6"/>
      <c r="AK177" s="6"/>
      <c r="AL177" s="6"/>
      <c r="AM177" s="30"/>
      <c r="AN177" s="198"/>
      <c r="AO177" s="196"/>
      <c r="AP177" s="196"/>
      <c r="AQ177" s="196"/>
      <c r="AR177" s="196"/>
      <c r="AS177" s="196"/>
      <c r="AT177" s="196"/>
      <c r="AU177" s="196"/>
      <c r="AV177" s="196"/>
      <c r="AW177" s="196"/>
      <c r="AX177" s="198"/>
      <c r="AY177" s="164"/>
      <c r="AZ177" s="23"/>
      <c r="BA177" s="23"/>
      <c r="BB177" s="23"/>
      <c r="BC177" s="23"/>
      <c r="BD177" s="23"/>
      <c r="BE177" s="23"/>
      <c r="BF177" s="23"/>
      <c r="BG177" s="23"/>
      <c r="BH177" s="23"/>
      <c r="BI177" s="23"/>
      <c r="BJ177" s="23"/>
      <c r="BK177" s="23"/>
      <c r="BL177" s="23"/>
      <c r="BM177" s="23"/>
      <c r="BN177" s="23"/>
    </row>
    <row r="178" spans="1:66">
      <c r="A178" s="23"/>
      <c r="B178" s="100"/>
      <c r="C178" s="6"/>
      <c r="D178" s="6"/>
      <c r="E178" s="87"/>
      <c r="F178" s="93"/>
      <c r="G178" s="87"/>
      <c r="H178" s="194"/>
      <c r="I178" s="181"/>
      <c r="J178" s="6"/>
      <c r="K178" s="6"/>
      <c r="L178" s="175"/>
      <c r="M178" s="197"/>
      <c r="N178" s="273"/>
      <c r="O178" s="196"/>
      <c r="P178" s="196"/>
      <c r="Q178" s="196"/>
      <c r="R178" s="196"/>
      <c r="S178" s="196"/>
      <c r="T178" s="196"/>
      <c r="U178" s="196"/>
      <c r="V178" s="196"/>
      <c r="W178" s="196"/>
      <c r="X178" s="196"/>
      <c r="Y178" s="196"/>
      <c r="Z178" s="196"/>
      <c r="AA178" s="196"/>
      <c r="AB178" s="196"/>
      <c r="AC178" s="196"/>
      <c r="AD178" s="181"/>
      <c r="AE178" s="6"/>
      <c r="AF178" s="6"/>
      <c r="AG178" s="6"/>
      <c r="AH178" s="6"/>
      <c r="AI178" s="6"/>
      <c r="AJ178" s="6"/>
      <c r="AK178" s="6"/>
      <c r="AL178" s="6"/>
      <c r="AM178" s="30"/>
      <c r="AN178" s="198"/>
      <c r="AO178" s="196"/>
      <c r="AP178" s="196"/>
      <c r="AQ178" s="196"/>
      <c r="AR178" s="196"/>
      <c r="AS178" s="196"/>
      <c r="AT178" s="196"/>
      <c r="AU178" s="196"/>
      <c r="AV178" s="196"/>
      <c r="AW178" s="196"/>
      <c r="AX178" s="198"/>
      <c r="AY178" s="164"/>
      <c r="AZ178" s="23"/>
      <c r="BA178" s="23"/>
      <c r="BB178" s="23"/>
      <c r="BC178" s="23"/>
      <c r="BD178" s="23"/>
      <c r="BE178" s="23"/>
      <c r="BF178" s="23"/>
      <c r="BG178" s="23"/>
      <c r="BH178" s="23"/>
      <c r="BI178" s="23"/>
      <c r="BJ178" s="23"/>
      <c r="BK178" s="23"/>
      <c r="BL178" s="23"/>
      <c r="BM178" s="23"/>
      <c r="BN178" s="23"/>
    </row>
    <row r="179" spans="1:66">
      <c r="A179" s="23"/>
      <c r="B179" s="100"/>
      <c r="C179" s="6"/>
      <c r="D179" s="6"/>
      <c r="E179" s="87"/>
      <c r="F179" s="93"/>
      <c r="G179" s="87"/>
      <c r="H179" s="194"/>
      <c r="I179" s="181"/>
      <c r="J179" s="6"/>
      <c r="K179" s="6"/>
      <c r="L179" s="175"/>
      <c r="M179" s="197"/>
      <c r="N179" s="273"/>
      <c r="O179" s="196"/>
      <c r="P179" s="196"/>
      <c r="Q179" s="196"/>
      <c r="R179" s="196"/>
      <c r="S179" s="196"/>
      <c r="T179" s="196"/>
      <c r="U179" s="196"/>
      <c r="V179" s="196"/>
      <c r="W179" s="196"/>
      <c r="X179" s="196"/>
      <c r="Y179" s="196"/>
      <c r="Z179" s="196"/>
      <c r="AA179" s="196"/>
      <c r="AB179" s="196"/>
      <c r="AC179" s="196"/>
      <c r="AD179" s="181"/>
      <c r="AE179" s="6"/>
      <c r="AF179" s="6"/>
      <c r="AG179" s="6"/>
      <c r="AH179" s="6"/>
      <c r="AI179" s="6"/>
      <c r="AJ179" s="6"/>
      <c r="AK179" s="6"/>
      <c r="AL179" s="6"/>
      <c r="AM179" s="30"/>
      <c r="AN179" s="198"/>
      <c r="AO179" s="196"/>
      <c r="AP179" s="196"/>
      <c r="AQ179" s="196"/>
      <c r="AR179" s="196"/>
      <c r="AS179" s="196"/>
      <c r="AT179" s="196"/>
      <c r="AU179" s="196"/>
      <c r="AV179" s="196"/>
      <c r="AW179" s="196"/>
      <c r="AX179" s="198"/>
      <c r="AY179" s="164"/>
      <c r="AZ179" s="23"/>
      <c r="BA179" s="23"/>
      <c r="BB179" s="23"/>
      <c r="BC179" s="23"/>
      <c r="BD179" s="23"/>
      <c r="BE179" s="23"/>
      <c r="BF179" s="23"/>
      <c r="BG179" s="23"/>
      <c r="BH179" s="23"/>
      <c r="BI179" s="23"/>
      <c r="BJ179" s="23"/>
      <c r="BK179" s="23"/>
      <c r="BL179" s="23"/>
      <c r="BM179" s="23"/>
      <c r="BN179" s="23"/>
    </row>
    <row r="180" spans="1:66">
      <c r="A180" s="23"/>
      <c r="B180" s="100"/>
      <c r="C180" s="6"/>
      <c r="D180" s="6"/>
      <c r="E180" s="87"/>
      <c r="F180" s="93"/>
      <c r="G180" s="87"/>
      <c r="H180" s="194"/>
      <c r="I180" s="181"/>
      <c r="J180" s="6"/>
      <c r="K180" s="6"/>
      <c r="L180" s="175"/>
      <c r="M180" s="197"/>
      <c r="N180" s="273"/>
      <c r="O180" s="196"/>
      <c r="P180" s="196"/>
      <c r="Q180" s="196"/>
      <c r="R180" s="196"/>
      <c r="S180" s="196"/>
      <c r="T180" s="196"/>
      <c r="U180" s="196"/>
      <c r="V180" s="196"/>
      <c r="W180" s="196"/>
      <c r="X180" s="196"/>
      <c r="Y180" s="196"/>
      <c r="Z180" s="196"/>
      <c r="AA180" s="196"/>
      <c r="AB180" s="196"/>
      <c r="AC180" s="196"/>
      <c r="AD180" s="181"/>
      <c r="AE180" s="6"/>
      <c r="AF180" s="6"/>
      <c r="AG180" s="6"/>
      <c r="AH180" s="6"/>
      <c r="AI180" s="6"/>
      <c r="AJ180" s="6"/>
      <c r="AK180" s="6"/>
      <c r="AL180" s="6"/>
      <c r="AM180" s="30"/>
      <c r="AN180" s="198"/>
      <c r="AO180" s="196"/>
      <c r="AP180" s="196"/>
      <c r="AQ180" s="196"/>
      <c r="AR180" s="196"/>
      <c r="AS180" s="196"/>
      <c r="AT180" s="196"/>
      <c r="AU180" s="196"/>
      <c r="AV180" s="196"/>
      <c r="AW180" s="196"/>
      <c r="AX180" s="198"/>
      <c r="AY180" s="164"/>
      <c r="AZ180" s="23"/>
      <c r="BA180" s="23"/>
      <c r="BB180" s="23"/>
      <c r="BC180" s="23"/>
      <c r="BD180" s="23"/>
      <c r="BE180" s="23"/>
      <c r="BF180" s="23"/>
      <c r="BG180" s="23"/>
      <c r="BH180" s="23"/>
      <c r="BI180" s="23"/>
      <c r="BJ180" s="23"/>
      <c r="BK180" s="23"/>
      <c r="BL180" s="23"/>
      <c r="BM180" s="23"/>
      <c r="BN180" s="23"/>
    </row>
    <row r="181" spans="1:66">
      <c r="A181" s="23"/>
      <c r="B181" s="100"/>
      <c r="C181" s="6"/>
      <c r="D181" s="6"/>
      <c r="E181" s="87"/>
      <c r="F181" s="93"/>
      <c r="G181" s="87"/>
      <c r="H181" s="194"/>
      <c r="I181" s="181"/>
      <c r="J181" s="6"/>
      <c r="K181" s="6"/>
      <c r="L181" s="175"/>
      <c r="M181" s="197"/>
      <c r="N181" s="273"/>
      <c r="O181" s="196"/>
      <c r="P181" s="196"/>
      <c r="Q181" s="196"/>
      <c r="R181" s="196"/>
      <c r="S181" s="196"/>
      <c r="T181" s="196"/>
      <c r="U181" s="196"/>
      <c r="V181" s="196"/>
      <c r="W181" s="196"/>
      <c r="X181" s="196"/>
      <c r="Y181" s="196"/>
      <c r="Z181" s="196"/>
      <c r="AA181" s="196"/>
      <c r="AB181" s="196"/>
      <c r="AC181" s="196"/>
      <c r="AD181" s="181"/>
      <c r="AE181" s="6"/>
      <c r="AF181" s="6"/>
      <c r="AG181" s="6"/>
      <c r="AH181" s="6"/>
      <c r="AI181" s="6"/>
      <c r="AJ181" s="6"/>
      <c r="AK181" s="6"/>
      <c r="AL181" s="6"/>
      <c r="AM181" s="30"/>
      <c r="AN181" s="198"/>
      <c r="AO181" s="196"/>
      <c r="AP181" s="196"/>
      <c r="AQ181" s="196"/>
      <c r="AR181" s="196"/>
      <c r="AS181" s="196"/>
      <c r="AT181" s="196"/>
      <c r="AU181" s="196"/>
      <c r="AV181" s="196"/>
      <c r="AW181" s="196"/>
      <c r="AX181" s="198"/>
      <c r="AY181" s="164"/>
      <c r="AZ181" s="23"/>
      <c r="BA181" s="23"/>
      <c r="BB181" s="23"/>
      <c r="BC181" s="23"/>
      <c r="BD181" s="23"/>
      <c r="BE181" s="23"/>
      <c r="BF181" s="23"/>
      <c r="BG181" s="23"/>
      <c r="BH181" s="23"/>
      <c r="BI181" s="23"/>
      <c r="BJ181" s="23"/>
      <c r="BK181" s="23"/>
      <c r="BL181" s="23"/>
      <c r="BM181" s="23"/>
      <c r="BN181" s="23"/>
    </row>
    <row r="182" spans="1:66">
      <c r="A182" s="23"/>
      <c r="B182" s="100"/>
      <c r="C182" s="6"/>
      <c r="D182" s="6"/>
      <c r="E182" s="87"/>
      <c r="F182" s="93"/>
      <c r="G182" s="87"/>
      <c r="H182" s="194"/>
      <c r="I182" s="181"/>
      <c r="J182" s="6"/>
      <c r="K182" s="6"/>
      <c r="L182" s="175"/>
      <c r="M182" s="197"/>
      <c r="N182" s="273"/>
      <c r="O182" s="196"/>
      <c r="P182" s="196"/>
      <c r="Q182" s="196"/>
      <c r="R182" s="196"/>
      <c r="S182" s="196"/>
      <c r="T182" s="196"/>
      <c r="U182" s="196"/>
      <c r="V182" s="196"/>
      <c r="W182" s="196"/>
      <c r="X182" s="196"/>
      <c r="Y182" s="196"/>
      <c r="Z182" s="196"/>
      <c r="AA182" s="196"/>
      <c r="AB182" s="196"/>
      <c r="AC182" s="196"/>
      <c r="AD182" s="181"/>
      <c r="AE182" s="6"/>
      <c r="AF182" s="6"/>
      <c r="AG182" s="6"/>
      <c r="AH182" s="6"/>
      <c r="AI182" s="6"/>
      <c r="AJ182" s="6"/>
      <c r="AK182" s="6"/>
      <c r="AL182" s="6"/>
      <c r="AM182" s="30"/>
      <c r="AN182" s="198"/>
      <c r="AO182" s="196"/>
      <c r="AP182" s="196"/>
      <c r="AQ182" s="196"/>
      <c r="AR182" s="196"/>
      <c r="AS182" s="196"/>
      <c r="AT182" s="196"/>
      <c r="AU182" s="196"/>
      <c r="AV182" s="196"/>
      <c r="AW182" s="196"/>
      <c r="AX182" s="198"/>
      <c r="AY182" s="164"/>
      <c r="AZ182" s="23"/>
      <c r="BA182" s="23"/>
      <c r="BB182" s="23"/>
      <c r="BC182" s="23"/>
      <c r="BD182" s="23"/>
      <c r="BE182" s="23"/>
      <c r="BF182" s="23"/>
      <c r="BG182" s="23"/>
      <c r="BH182" s="23"/>
      <c r="BI182" s="23"/>
      <c r="BJ182" s="23"/>
      <c r="BK182" s="23"/>
      <c r="BL182" s="23"/>
      <c r="BM182" s="23"/>
      <c r="BN182" s="23"/>
    </row>
    <row r="183" spans="1:66">
      <c r="A183" s="23"/>
      <c r="B183" s="100"/>
      <c r="C183" s="6"/>
      <c r="D183" s="6"/>
      <c r="E183" s="87"/>
      <c r="F183" s="93"/>
      <c r="G183" s="87"/>
      <c r="H183" s="194"/>
      <c r="I183" s="181"/>
      <c r="J183" s="6"/>
      <c r="K183" s="6"/>
      <c r="L183" s="175"/>
      <c r="M183" s="197"/>
      <c r="N183" s="273"/>
      <c r="O183" s="196"/>
      <c r="P183" s="196"/>
      <c r="Q183" s="196"/>
      <c r="R183" s="196"/>
      <c r="S183" s="196"/>
      <c r="T183" s="196"/>
      <c r="U183" s="196"/>
      <c r="V183" s="196"/>
      <c r="W183" s="196"/>
      <c r="X183" s="196"/>
      <c r="Y183" s="196"/>
      <c r="Z183" s="196"/>
      <c r="AA183" s="196"/>
      <c r="AB183" s="196"/>
      <c r="AC183" s="196"/>
      <c r="AD183" s="181"/>
      <c r="AE183" s="6"/>
      <c r="AF183" s="6"/>
      <c r="AG183" s="6"/>
      <c r="AH183" s="6"/>
      <c r="AI183" s="6"/>
      <c r="AJ183" s="6"/>
      <c r="AK183" s="6"/>
      <c r="AL183" s="6"/>
      <c r="AM183" s="30"/>
      <c r="AN183" s="198"/>
      <c r="AO183" s="196"/>
      <c r="AP183" s="196"/>
      <c r="AQ183" s="196"/>
      <c r="AR183" s="196"/>
      <c r="AS183" s="196"/>
      <c r="AT183" s="196"/>
      <c r="AU183" s="196"/>
      <c r="AV183" s="196"/>
      <c r="AW183" s="196"/>
      <c r="AX183" s="198"/>
      <c r="AY183" s="164"/>
      <c r="AZ183" s="23"/>
      <c r="BA183" s="23"/>
      <c r="BB183" s="23"/>
      <c r="BC183" s="23"/>
      <c r="BD183" s="23"/>
      <c r="BE183" s="23"/>
      <c r="BF183" s="23"/>
      <c r="BG183" s="23"/>
      <c r="BH183" s="23"/>
      <c r="BI183" s="23"/>
      <c r="BJ183" s="23"/>
      <c r="BK183" s="23"/>
      <c r="BL183" s="23"/>
      <c r="BM183" s="23"/>
      <c r="BN183" s="23"/>
    </row>
    <row r="184" spans="1:66">
      <c r="A184" s="23"/>
      <c r="B184" s="100"/>
      <c r="C184" s="6"/>
      <c r="D184" s="6"/>
      <c r="E184" s="87"/>
      <c r="F184" s="93"/>
      <c r="G184" s="87"/>
      <c r="H184" s="194"/>
      <c r="I184" s="181"/>
      <c r="J184" s="6"/>
      <c r="K184" s="6"/>
      <c r="L184" s="175"/>
      <c r="M184" s="197"/>
      <c r="N184" s="273">
        <v>4.0369504125538613</v>
      </c>
      <c r="O184" s="196"/>
      <c r="P184" s="196"/>
      <c r="Q184" s="196"/>
      <c r="R184" s="196"/>
      <c r="S184" s="196"/>
      <c r="T184" s="196"/>
      <c r="U184" s="196"/>
      <c r="V184" s="196"/>
      <c r="W184" s="196"/>
      <c r="X184" s="196"/>
      <c r="Y184" s="196"/>
      <c r="Z184" s="196"/>
      <c r="AA184" s="196"/>
      <c r="AB184" s="196"/>
      <c r="AC184" s="196"/>
      <c r="AD184" s="181"/>
      <c r="AE184" s="6"/>
      <c r="AF184" s="6"/>
      <c r="AG184" s="6"/>
      <c r="AH184" s="6"/>
      <c r="AI184" s="6"/>
      <c r="AJ184" s="6"/>
      <c r="AK184" s="6"/>
      <c r="AL184" s="6"/>
      <c r="AM184" s="30"/>
      <c r="AN184" s="198"/>
      <c r="AO184" s="196"/>
      <c r="AP184" s="196"/>
      <c r="AQ184" s="196"/>
      <c r="AR184" s="196"/>
      <c r="AS184" s="196"/>
      <c r="AT184" s="196"/>
      <c r="AU184" s="196"/>
      <c r="AV184" s="196"/>
      <c r="AW184" s="196"/>
      <c r="AX184" s="198"/>
      <c r="AY184" s="164"/>
      <c r="AZ184" s="23"/>
      <c r="BA184" s="23"/>
      <c r="BB184" s="23"/>
      <c r="BC184" s="23"/>
      <c r="BD184" s="23"/>
      <c r="BE184" s="23"/>
      <c r="BF184" s="23"/>
      <c r="BG184" s="23"/>
      <c r="BH184" s="23"/>
      <c r="BI184" s="23"/>
      <c r="BJ184" s="23"/>
      <c r="BK184" s="23"/>
      <c r="BL184" s="23"/>
      <c r="BM184" s="23"/>
      <c r="BN184" s="23"/>
    </row>
    <row r="185" spans="1:66">
      <c r="A185" s="23"/>
      <c r="B185" s="100"/>
      <c r="C185" s="6"/>
      <c r="D185" s="6"/>
      <c r="E185" s="87"/>
      <c r="F185" s="93"/>
      <c r="G185" s="87"/>
      <c r="H185" s="194"/>
      <c r="I185" s="181"/>
      <c r="J185" s="6"/>
      <c r="K185" s="6"/>
      <c r="L185" s="175"/>
      <c r="M185" s="197"/>
      <c r="N185" s="273">
        <v>4.0369504125538613</v>
      </c>
      <c r="O185" s="196"/>
      <c r="P185" s="196"/>
      <c r="Q185" s="196"/>
      <c r="R185" s="196"/>
      <c r="S185" s="196"/>
      <c r="T185" s="196"/>
      <c r="U185" s="196"/>
      <c r="V185" s="196"/>
      <c r="W185" s="196"/>
      <c r="X185" s="196"/>
      <c r="Y185" s="196"/>
      <c r="Z185" s="196"/>
      <c r="AA185" s="196"/>
      <c r="AB185" s="196"/>
      <c r="AC185" s="196"/>
      <c r="AD185" s="181"/>
      <c r="AE185" s="6"/>
      <c r="AF185" s="6"/>
      <c r="AG185" s="6"/>
      <c r="AH185" s="6"/>
      <c r="AI185" s="6"/>
      <c r="AJ185" s="6"/>
      <c r="AK185" s="6"/>
      <c r="AL185" s="6"/>
      <c r="AM185" s="30"/>
      <c r="AN185" s="198"/>
      <c r="AO185" s="196"/>
      <c r="AP185" s="196"/>
      <c r="AQ185" s="196"/>
      <c r="AR185" s="196"/>
      <c r="AS185" s="196"/>
      <c r="AT185" s="196"/>
      <c r="AU185" s="196"/>
      <c r="AV185" s="196"/>
      <c r="AW185" s="196"/>
      <c r="AX185" s="198"/>
      <c r="AY185" s="164"/>
      <c r="AZ185" s="23"/>
      <c r="BA185" s="23"/>
      <c r="BB185" s="23"/>
      <c r="BC185" s="23"/>
      <c r="BD185" s="23"/>
      <c r="BE185" s="23"/>
      <c r="BF185" s="23"/>
      <c r="BG185" s="23"/>
      <c r="BH185" s="23"/>
      <c r="BI185" s="23"/>
      <c r="BJ185" s="23"/>
      <c r="BK185" s="23"/>
      <c r="BL185" s="23"/>
      <c r="BM185" s="23"/>
      <c r="BN185" s="23"/>
    </row>
    <row r="186" spans="1:66">
      <c r="A186" s="23"/>
      <c r="B186" s="100"/>
      <c r="C186" s="6"/>
      <c r="D186" s="6"/>
      <c r="E186" s="87"/>
      <c r="F186" s="93"/>
      <c r="G186" s="87"/>
      <c r="H186" s="194"/>
      <c r="I186" s="181"/>
      <c r="J186" s="6"/>
      <c r="K186" s="6"/>
      <c r="L186" s="175"/>
      <c r="M186" s="197"/>
      <c r="N186" s="273">
        <v>4.0369504125538613</v>
      </c>
      <c r="O186" s="196"/>
      <c r="P186" s="196"/>
      <c r="Q186" s="196"/>
      <c r="R186" s="196"/>
      <c r="S186" s="196"/>
      <c r="T186" s="196"/>
      <c r="U186" s="196"/>
      <c r="V186" s="196"/>
      <c r="W186" s="196"/>
      <c r="X186" s="196"/>
      <c r="Y186" s="196"/>
      <c r="Z186" s="196"/>
      <c r="AA186" s="196"/>
      <c r="AB186" s="196"/>
      <c r="AC186" s="196"/>
      <c r="AD186" s="181"/>
      <c r="AE186" s="6"/>
      <c r="AF186" s="6"/>
      <c r="AG186" s="6"/>
      <c r="AH186" s="6"/>
      <c r="AI186" s="6"/>
      <c r="AJ186" s="6"/>
      <c r="AK186" s="6"/>
      <c r="AL186" s="6"/>
      <c r="AM186" s="30"/>
      <c r="AN186" s="198"/>
      <c r="AO186" s="196"/>
      <c r="AP186" s="196"/>
      <c r="AQ186" s="196"/>
      <c r="AR186" s="196"/>
      <c r="AS186" s="196"/>
      <c r="AT186" s="196"/>
      <c r="AU186" s="196"/>
      <c r="AV186" s="196"/>
      <c r="AW186" s="196"/>
      <c r="AX186" s="198"/>
      <c r="AY186" s="164"/>
      <c r="AZ186" s="23"/>
      <c r="BA186" s="23"/>
      <c r="BB186" s="23"/>
      <c r="BC186" s="23"/>
      <c r="BD186" s="23"/>
      <c r="BE186" s="23"/>
      <c r="BF186" s="23"/>
      <c r="BG186" s="23"/>
      <c r="BH186" s="23"/>
      <c r="BI186" s="23"/>
      <c r="BJ186" s="23"/>
      <c r="BK186" s="23"/>
      <c r="BL186" s="23"/>
      <c r="BM186" s="23"/>
      <c r="BN186" s="23"/>
    </row>
    <row r="187" spans="1:66">
      <c r="A187" s="23"/>
      <c r="B187" s="100"/>
      <c r="C187" s="6"/>
      <c r="D187" s="6"/>
      <c r="E187" s="87"/>
      <c r="F187" s="93"/>
      <c r="G187" s="87"/>
      <c r="H187" s="194"/>
      <c r="I187" s="181"/>
      <c r="J187" s="6"/>
      <c r="K187" s="6"/>
      <c r="L187" s="175"/>
      <c r="M187" s="197"/>
      <c r="N187" s="273">
        <v>4.0369504125538613</v>
      </c>
      <c r="O187" s="196"/>
      <c r="P187" s="196"/>
      <c r="Q187" s="196"/>
      <c r="R187" s="196"/>
      <c r="S187" s="196"/>
      <c r="T187" s="196"/>
      <c r="U187" s="196"/>
      <c r="V187" s="196"/>
      <c r="W187" s="196"/>
      <c r="X187" s="196"/>
      <c r="Y187" s="196"/>
      <c r="Z187" s="196"/>
      <c r="AA187" s="196"/>
      <c r="AB187" s="196"/>
      <c r="AC187" s="196"/>
      <c r="AD187" s="181"/>
      <c r="AE187" s="6"/>
      <c r="AF187" s="6"/>
      <c r="AG187" s="6"/>
      <c r="AH187" s="6"/>
      <c r="AI187" s="6"/>
      <c r="AJ187" s="6"/>
      <c r="AK187" s="6"/>
      <c r="AL187" s="6"/>
      <c r="AM187" s="30"/>
      <c r="AN187" s="198"/>
      <c r="AO187" s="196"/>
      <c r="AP187" s="196"/>
      <c r="AQ187" s="196"/>
      <c r="AR187" s="196"/>
      <c r="AS187" s="196"/>
      <c r="AT187" s="196"/>
      <c r="AU187" s="196"/>
      <c r="AV187" s="196"/>
      <c r="AW187" s="196"/>
      <c r="AX187" s="198"/>
      <c r="AY187" s="164"/>
      <c r="AZ187" s="23"/>
      <c r="BA187" s="23"/>
      <c r="BB187" s="23"/>
      <c r="BC187" s="23"/>
      <c r="BD187" s="23"/>
      <c r="BE187" s="23"/>
      <c r="BF187" s="23"/>
      <c r="BG187" s="23"/>
      <c r="BH187" s="23"/>
      <c r="BI187" s="23"/>
      <c r="BJ187" s="23"/>
      <c r="BK187" s="23"/>
      <c r="BL187" s="23"/>
      <c r="BM187" s="23"/>
      <c r="BN187" s="23"/>
    </row>
    <row r="188" spans="1:66">
      <c r="A188" s="23"/>
      <c r="B188" s="100"/>
      <c r="C188" s="6"/>
      <c r="D188" s="6"/>
      <c r="E188" s="87"/>
      <c r="F188" s="93"/>
      <c r="G188" s="87"/>
      <c r="H188" s="194"/>
      <c r="I188" s="181"/>
      <c r="J188" s="6"/>
      <c r="K188" s="6"/>
      <c r="L188" s="175"/>
      <c r="M188" s="197"/>
      <c r="N188" s="273">
        <v>4.0369504125538613</v>
      </c>
      <c r="O188" s="196"/>
      <c r="P188" s="196"/>
      <c r="Q188" s="196"/>
      <c r="R188" s="196"/>
      <c r="S188" s="196"/>
      <c r="T188" s="196"/>
      <c r="U188" s="196"/>
      <c r="V188" s="196"/>
      <c r="W188" s="196"/>
      <c r="X188" s="196"/>
      <c r="Y188" s="196"/>
      <c r="Z188" s="196"/>
      <c r="AA188" s="196"/>
      <c r="AB188" s="196"/>
      <c r="AC188" s="196"/>
      <c r="AD188" s="181"/>
      <c r="AE188" s="6"/>
      <c r="AF188" s="6"/>
      <c r="AG188" s="6"/>
      <c r="AH188" s="6"/>
      <c r="AI188" s="6"/>
      <c r="AJ188" s="6"/>
      <c r="AK188" s="6"/>
      <c r="AL188" s="6"/>
      <c r="AM188" s="30"/>
      <c r="AN188" s="198"/>
      <c r="AO188" s="196"/>
      <c r="AP188" s="196"/>
      <c r="AQ188" s="196"/>
      <c r="AR188" s="196"/>
      <c r="AS188" s="196"/>
      <c r="AT188" s="196"/>
      <c r="AU188" s="196"/>
      <c r="AV188" s="196"/>
      <c r="AW188" s="196"/>
      <c r="AX188" s="198"/>
      <c r="AY188" s="164"/>
      <c r="AZ188" s="23"/>
      <c r="BA188" s="23"/>
      <c r="BB188" s="23"/>
      <c r="BC188" s="23"/>
      <c r="BD188" s="23"/>
      <c r="BE188" s="23"/>
      <c r="BF188" s="23"/>
      <c r="BG188" s="23"/>
      <c r="BH188" s="23"/>
      <c r="BI188" s="23"/>
      <c r="BJ188" s="23"/>
      <c r="BK188" s="23"/>
      <c r="BL188" s="23"/>
      <c r="BM188" s="23"/>
      <c r="BN188" s="23"/>
    </row>
    <row r="189" spans="1:66">
      <c r="A189" s="23"/>
      <c r="B189" s="100"/>
      <c r="C189" s="6"/>
      <c r="D189" s="6"/>
      <c r="E189" s="87"/>
      <c r="F189" s="93"/>
      <c r="G189" s="87"/>
      <c r="H189" s="194"/>
      <c r="I189" s="181"/>
      <c r="J189" s="6"/>
      <c r="K189" s="6"/>
      <c r="L189" s="175"/>
      <c r="M189" s="197"/>
      <c r="N189" s="273">
        <v>4.0369504125538613</v>
      </c>
      <c r="O189" s="196"/>
      <c r="P189" s="196"/>
      <c r="Q189" s="196"/>
      <c r="R189" s="196"/>
      <c r="S189" s="196"/>
      <c r="T189" s="196"/>
      <c r="U189" s="196"/>
      <c r="V189" s="196"/>
      <c r="W189" s="196"/>
      <c r="X189" s="196"/>
      <c r="Y189" s="196"/>
      <c r="Z189" s="196"/>
      <c r="AA189" s="196"/>
      <c r="AB189" s="196"/>
      <c r="AC189" s="196"/>
      <c r="AD189" s="181"/>
      <c r="AE189" s="6"/>
      <c r="AF189" s="6"/>
      <c r="AG189" s="6"/>
      <c r="AH189" s="6"/>
      <c r="AI189" s="6"/>
      <c r="AJ189" s="6"/>
      <c r="AK189" s="6"/>
      <c r="AL189" s="6"/>
      <c r="AM189" s="30"/>
      <c r="AN189" s="198"/>
      <c r="AO189" s="196"/>
      <c r="AP189" s="196"/>
      <c r="AQ189" s="196"/>
      <c r="AR189" s="196"/>
      <c r="AS189" s="196"/>
      <c r="AT189" s="196"/>
      <c r="AU189" s="196"/>
      <c r="AV189" s="196"/>
      <c r="AW189" s="196"/>
      <c r="AX189" s="198"/>
      <c r="AY189" s="164"/>
      <c r="AZ189" s="23"/>
      <c r="BA189" s="23"/>
      <c r="BB189" s="23"/>
      <c r="BC189" s="23"/>
      <c r="BD189" s="23"/>
      <c r="BE189" s="23"/>
      <c r="BF189" s="23"/>
      <c r="BG189" s="23"/>
      <c r="BH189" s="23"/>
      <c r="BI189" s="23"/>
      <c r="BJ189" s="23"/>
      <c r="BK189" s="23"/>
      <c r="BL189" s="23"/>
      <c r="BM189" s="23"/>
      <c r="BN189" s="23"/>
    </row>
    <row r="190" spans="1:66">
      <c r="A190" s="23"/>
      <c r="B190" s="100"/>
      <c r="C190" s="6"/>
      <c r="D190" s="6"/>
      <c r="E190" s="87"/>
      <c r="F190" s="93"/>
      <c r="G190" s="87"/>
      <c r="H190" s="194"/>
      <c r="I190" s="181"/>
      <c r="J190" s="6"/>
      <c r="K190" s="6"/>
      <c r="L190" s="175"/>
      <c r="M190" s="197"/>
      <c r="N190" s="273">
        <v>4.0369504125538613</v>
      </c>
      <c r="O190" s="196"/>
      <c r="P190" s="196"/>
      <c r="Q190" s="196"/>
      <c r="R190" s="196"/>
      <c r="S190" s="196"/>
      <c r="T190" s="196"/>
      <c r="U190" s="196"/>
      <c r="V190" s="196"/>
      <c r="W190" s="196"/>
      <c r="X190" s="196"/>
      <c r="Y190" s="196"/>
      <c r="Z190" s="196"/>
      <c r="AA190" s="196"/>
      <c r="AB190" s="196"/>
      <c r="AC190" s="196"/>
      <c r="AD190" s="181"/>
      <c r="AE190" s="6"/>
      <c r="AF190" s="6"/>
      <c r="AG190" s="6"/>
      <c r="AH190" s="6"/>
      <c r="AI190" s="6"/>
      <c r="AJ190" s="6"/>
      <c r="AK190" s="6"/>
      <c r="AL190" s="6"/>
      <c r="AM190" s="30"/>
      <c r="AN190" s="198"/>
      <c r="AO190" s="196"/>
      <c r="AP190" s="196"/>
      <c r="AQ190" s="196"/>
      <c r="AR190" s="196"/>
      <c r="AS190" s="196"/>
      <c r="AT190" s="196"/>
      <c r="AU190" s="196"/>
      <c r="AV190" s="196"/>
      <c r="AW190" s="196"/>
      <c r="AX190" s="198"/>
      <c r="AY190" s="164"/>
      <c r="AZ190" s="23"/>
      <c r="BA190" s="23"/>
      <c r="BB190" s="23"/>
      <c r="BC190" s="23"/>
      <c r="BD190" s="23"/>
      <c r="BE190" s="23"/>
      <c r="BF190" s="23"/>
      <c r="BG190" s="23"/>
      <c r="BH190" s="23"/>
      <c r="BI190" s="23"/>
      <c r="BJ190" s="23"/>
      <c r="BK190" s="23"/>
      <c r="BL190" s="23"/>
      <c r="BM190" s="23"/>
      <c r="BN190" s="23"/>
    </row>
    <row r="191" spans="1:66">
      <c r="A191" s="23"/>
      <c r="B191" s="100"/>
      <c r="C191" s="6"/>
      <c r="D191" s="6"/>
      <c r="E191" s="87"/>
      <c r="F191" s="93"/>
      <c r="G191" s="87"/>
      <c r="H191" s="194"/>
      <c r="I191" s="181"/>
      <c r="J191" s="6"/>
      <c r="K191" s="6"/>
      <c r="L191" s="175"/>
      <c r="M191" s="197"/>
      <c r="N191" s="273">
        <v>4.0369504125538613</v>
      </c>
      <c r="O191" s="196"/>
      <c r="P191" s="196"/>
      <c r="Q191" s="196"/>
      <c r="R191" s="196"/>
      <c r="S191" s="196"/>
      <c r="T191" s="196"/>
      <c r="U191" s="196"/>
      <c r="V191" s="196"/>
      <c r="W191" s="196"/>
      <c r="X191" s="196"/>
      <c r="Y191" s="196"/>
      <c r="Z191" s="196"/>
      <c r="AA191" s="196"/>
      <c r="AB191" s="196"/>
      <c r="AC191" s="196"/>
      <c r="AD191" s="181"/>
      <c r="AE191" s="6"/>
      <c r="AF191" s="6"/>
      <c r="AG191" s="6"/>
      <c r="AH191" s="6"/>
      <c r="AI191" s="6"/>
      <c r="AJ191" s="6"/>
      <c r="AK191" s="6"/>
      <c r="AL191" s="6"/>
      <c r="AM191" s="30"/>
      <c r="AN191" s="198"/>
      <c r="AO191" s="196"/>
      <c r="AP191" s="196"/>
      <c r="AQ191" s="196"/>
      <c r="AR191" s="196"/>
      <c r="AS191" s="196"/>
      <c r="AT191" s="196"/>
      <c r="AU191" s="196"/>
      <c r="AV191" s="196"/>
      <c r="AW191" s="196"/>
      <c r="AX191" s="198"/>
      <c r="AY191" s="164"/>
      <c r="AZ191" s="23"/>
      <c r="BA191" s="23"/>
      <c r="BB191" s="23"/>
      <c r="BC191" s="23"/>
      <c r="BD191" s="23"/>
      <c r="BE191" s="23"/>
      <c r="BF191" s="23"/>
      <c r="BG191" s="23"/>
      <c r="BH191" s="23"/>
      <c r="BI191" s="23"/>
      <c r="BJ191" s="23"/>
      <c r="BK191" s="23"/>
      <c r="BL191" s="23"/>
      <c r="BM191" s="23"/>
      <c r="BN191" s="23"/>
    </row>
    <row r="192" spans="1:66">
      <c r="A192" s="23"/>
      <c r="B192" s="100"/>
      <c r="C192" s="6"/>
      <c r="D192" s="6"/>
      <c r="E192" s="87"/>
      <c r="F192" s="93"/>
      <c r="G192" s="87"/>
      <c r="H192" s="194"/>
      <c r="I192" s="181"/>
      <c r="J192" s="6"/>
      <c r="K192" s="6"/>
      <c r="L192" s="175"/>
      <c r="M192" s="197"/>
      <c r="N192" s="273">
        <v>4.0369504125538613</v>
      </c>
      <c r="O192" s="196"/>
      <c r="P192" s="196"/>
      <c r="Q192" s="196"/>
      <c r="R192" s="196"/>
      <c r="S192" s="196"/>
      <c r="T192" s="196"/>
      <c r="U192" s="196"/>
      <c r="V192" s="196"/>
      <c r="W192" s="196"/>
      <c r="X192" s="196"/>
      <c r="Y192" s="196"/>
      <c r="Z192" s="196"/>
      <c r="AA192" s="196"/>
      <c r="AB192" s="196"/>
      <c r="AC192" s="196"/>
      <c r="AD192" s="181"/>
      <c r="AE192" s="6"/>
      <c r="AF192" s="6"/>
      <c r="AG192" s="6"/>
      <c r="AH192" s="6"/>
      <c r="AI192" s="6"/>
      <c r="AJ192" s="6"/>
      <c r="AK192" s="6"/>
      <c r="AL192" s="6"/>
      <c r="AM192" s="30"/>
      <c r="AN192" s="198"/>
      <c r="AO192" s="196"/>
      <c r="AP192" s="196"/>
      <c r="AQ192" s="196"/>
      <c r="AR192" s="196"/>
      <c r="AS192" s="196"/>
      <c r="AT192" s="196"/>
      <c r="AU192" s="196"/>
      <c r="AV192" s="196"/>
      <c r="AW192" s="196"/>
      <c r="AX192" s="198"/>
      <c r="AY192" s="164"/>
      <c r="AZ192" s="23"/>
      <c r="BA192" s="23"/>
      <c r="BB192" s="23"/>
      <c r="BC192" s="23"/>
      <c r="BD192" s="23"/>
      <c r="BE192" s="23"/>
      <c r="BF192" s="23"/>
      <c r="BG192" s="23"/>
      <c r="BH192" s="23"/>
      <c r="BI192" s="23"/>
      <c r="BJ192" s="23"/>
      <c r="BK192" s="23"/>
      <c r="BL192" s="23"/>
      <c r="BM192" s="23"/>
      <c r="BN192" s="23"/>
    </row>
    <row r="193" spans="1:66">
      <c r="A193" s="23"/>
      <c r="B193" s="100"/>
      <c r="C193" s="6"/>
      <c r="D193" s="6"/>
      <c r="E193" s="87"/>
      <c r="F193" s="93"/>
      <c r="G193" s="87"/>
      <c r="H193" s="194"/>
      <c r="I193" s="181"/>
      <c r="J193" s="6"/>
      <c r="K193" s="6"/>
      <c r="L193" s="175"/>
      <c r="M193" s="197"/>
      <c r="N193" s="273">
        <v>4.0369504125538613</v>
      </c>
      <c r="O193" s="196"/>
      <c r="P193" s="199"/>
      <c r="Q193" s="196"/>
      <c r="R193" s="196"/>
      <c r="S193" s="196"/>
      <c r="T193" s="196"/>
      <c r="U193" s="196"/>
      <c r="V193" s="196"/>
      <c r="W193" s="196"/>
      <c r="X193" s="196"/>
      <c r="Y193" s="196"/>
      <c r="Z193" s="196"/>
      <c r="AA193" s="196"/>
      <c r="AB193" s="196"/>
      <c r="AC193" s="196"/>
      <c r="AD193" s="181"/>
      <c r="AE193" s="6"/>
      <c r="AF193" s="6"/>
      <c r="AG193" s="6"/>
      <c r="AH193" s="6"/>
      <c r="AI193" s="6"/>
      <c r="AJ193" s="6"/>
      <c r="AK193" s="6"/>
      <c r="AL193" s="6"/>
      <c r="AM193" s="30"/>
      <c r="AN193" s="198"/>
      <c r="AO193" s="196"/>
      <c r="AP193" s="196"/>
      <c r="AQ193" s="196"/>
      <c r="AR193" s="196"/>
      <c r="AS193" s="196"/>
      <c r="AT193" s="196"/>
      <c r="AU193" s="196"/>
      <c r="AV193" s="196"/>
      <c r="AW193" s="196"/>
      <c r="AX193" s="198"/>
      <c r="AY193" s="164"/>
      <c r="AZ193" s="23"/>
      <c r="BA193" s="23"/>
      <c r="BB193" s="23"/>
      <c r="BC193" s="23"/>
      <c r="BD193" s="23"/>
      <c r="BE193" s="23"/>
      <c r="BF193" s="23"/>
      <c r="BG193" s="23"/>
      <c r="BH193" s="23"/>
      <c r="BI193" s="23"/>
      <c r="BJ193" s="23"/>
      <c r="BK193" s="23"/>
      <c r="BL193" s="23"/>
      <c r="BM193" s="23"/>
      <c r="BN193" s="23"/>
    </row>
    <row r="194" spans="1:66">
      <c r="A194" s="23"/>
      <c r="B194" s="100"/>
      <c r="C194" s="6"/>
      <c r="D194" s="6"/>
      <c r="E194" s="87"/>
      <c r="F194" s="93"/>
      <c r="G194" s="87"/>
      <c r="H194" s="194"/>
      <c r="I194" s="181"/>
      <c r="J194" s="6"/>
      <c r="K194" s="6"/>
      <c r="L194" s="175"/>
      <c r="M194" s="197"/>
      <c r="N194" s="273">
        <v>4.0369504125538613</v>
      </c>
      <c r="O194" s="196"/>
      <c r="P194" s="199"/>
      <c r="Q194" s="196"/>
      <c r="R194" s="196"/>
      <c r="S194" s="196"/>
      <c r="T194" s="196"/>
      <c r="U194" s="196"/>
      <c r="V194" s="196"/>
      <c r="W194" s="196"/>
      <c r="X194" s="196"/>
      <c r="Y194" s="196"/>
      <c r="Z194" s="196"/>
      <c r="AA194" s="196"/>
      <c r="AB194" s="196"/>
      <c r="AC194" s="196"/>
      <c r="AD194" s="181"/>
      <c r="AE194" s="6"/>
      <c r="AF194" s="6"/>
      <c r="AG194" s="6"/>
      <c r="AH194" s="6"/>
      <c r="AI194" s="6"/>
      <c r="AJ194" s="6"/>
      <c r="AK194" s="6"/>
      <c r="AL194" s="6"/>
      <c r="AM194" s="30"/>
      <c r="AN194" s="198"/>
      <c r="AO194" s="196"/>
      <c r="AP194" s="196"/>
      <c r="AQ194" s="196"/>
      <c r="AR194" s="196"/>
      <c r="AS194" s="196"/>
      <c r="AT194" s="196"/>
      <c r="AU194" s="196"/>
      <c r="AV194" s="196"/>
      <c r="AW194" s="196"/>
      <c r="AX194" s="198"/>
      <c r="AY194" s="164"/>
      <c r="AZ194" s="23"/>
      <c r="BA194" s="23"/>
      <c r="BB194" s="23"/>
      <c r="BC194" s="23"/>
      <c r="BD194" s="23"/>
      <c r="BE194" s="23"/>
      <c r="BF194" s="23"/>
      <c r="BG194" s="23"/>
      <c r="BH194" s="23"/>
      <c r="BI194" s="23"/>
      <c r="BJ194" s="23"/>
      <c r="BK194" s="23"/>
      <c r="BL194" s="23"/>
      <c r="BM194" s="23"/>
      <c r="BN194" s="23"/>
    </row>
    <row r="195" spans="1:66">
      <c r="A195" s="23"/>
      <c r="B195" s="100"/>
      <c r="C195" s="6"/>
      <c r="D195" s="6"/>
      <c r="E195" s="87"/>
      <c r="F195" s="93"/>
      <c r="G195" s="87"/>
      <c r="H195" s="194"/>
      <c r="I195" s="181"/>
      <c r="J195" s="6"/>
      <c r="K195" s="6"/>
      <c r="L195" s="175"/>
      <c r="M195" s="197"/>
      <c r="N195" s="273">
        <v>4.0369504125538613</v>
      </c>
      <c r="O195" s="196"/>
      <c r="P195" s="199"/>
      <c r="Q195" s="196"/>
      <c r="R195" s="196"/>
      <c r="S195" s="196"/>
      <c r="T195" s="196"/>
      <c r="U195" s="196"/>
      <c r="V195" s="196"/>
      <c r="W195" s="196"/>
      <c r="X195" s="196"/>
      <c r="Y195" s="196"/>
      <c r="Z195" s="196"/>
      <c r="AA195" s="196"/>
      <c r="AB195" s="196"/>
      <c r="AC195" s="196"/>
      <c r="AD195" s="181"/>
      <c r="AE195" s="6"/>
      <c r="AF195" s="6"/>
      <c r="AG195" s="6"/>
      <c r="AH195" s="6"/>
      <c r="AI195" s="6"/>
      <c r="AJ195" s="6"/>
      <c r="AK195" s="6"/>
      <c r="AL195" s="6"/>
      <c r="AM195" s="30"/>
      <c r="AN195" s="198"/>
      <c r="AO195" s="196"/>
      <c r="AP195" s="196"/>
      <c r="AQ195" s="196"/>
      <c r="AR195" s="196"/>
      <c r="AS195" s="196"/>
      <c r="AT195" s="196"/>
      <c r="AU195" s="196"/>
      <c r="AV195" s="196"/>
      <c r="AW195" s="196"/>
      <c r="AX195" s="198"/>
      <c r="AY195" s="164"/>
      <c r="AZ195" s="23"/>
      <c r="BA195" s="23"/>
      <c r="BB195" s="23"/>
      <c r="BC195" s="23"/>
      <c r="BD195" s="23"/>
      <c r="BE195" s="23"/>
      <c r="BF195" s="23"/>
      <c r="BG195" s="23"/>
      <c r="BH195" s="23"/>
      <c r="BI195" s="23"/>
      <c r="BJ195" s="23"/>
      <c r="BK195" s="23"/>
      <c r="BL195" s="23"/>
      <c r="BM195" s="23"/>
      <c r="BN195" s="23"/>
    </row>
    <row r="196" spans="1:66">
      <c r="A196" s="23"/>
      <c r="B196" s="100"/>
      <c r="C196" s="6"/>
      <c r="D196" s="6"/>
      <c r="E196" s="87"/>
      <c r="F196" s="93"/>
      <c r="G196" s="87"/>
      <c r="H196" s="194"/>
      <c r="I196" s="181"/>
      <c r="J196" s="6"/>
      <c r="K196" s="6"/>
      <c r="L196" s="175"/>
      <c r="M196" s="197"/>
      <c r="N196" s="273">
        <v>4.0369504125538613</v>
      </c>
      <c r="O196" s="196"/>
      <c r="P196" s="199"/>
      <c r="Q196" s="196"/>
      <c r="R196" s="196"/>
      <c r="S196" s="196"/>
      <c r="T196" s="196"/>
      <c r="U196" s="196"/>
      <c r="V196" s="196"/>
      <c r="W196" s="196"/>
      <c r="X196" s="196"/>
      <c r="Y196" s="196"/>
      <c r="Z196" s="196"/>
      <c r="AA196" s="196"/>
      <c r="AB196" s="196"/>
      <c r="AC196" s="196"/>
      <c r="AD196" s="181"/>
      <c r="AE196" s="6"/>
      <c r="AF196" s="6"/>
      <c r="AG196" s="6"/>
      <c r="AH196" s="6"/>
      <c r="AI196" s="6"/>
      <c r="AJ196" s="6"/>
      <c r="AK196" s="6"/>
      <c r="AL196" s="6"/>
      <c r="AM196" s="30"/>
      <c r="AN196" s="198"/>
      <c r="AO196" s="196"/>
      <c r="AP196" s="196"/>
      <c r="AQ196" s="196"/>
      <c r="AR196" s="196"/>
      <c r="AS196" s="196"/>
      <c r="AT196" s="196"/>
      <c r="AU196" s="196"/>
      <c r="AV196" s="196"/>
      <c r="AW196" s="196"/>
      <c r="AX196" s="198"/>
      <c r="AY196" s="164"/>
      <c r="AZ196" s="23"/>
      <c r="BA196" s="23"/>
      <c r="BB196" s="23"/>
      <c r="BC196" s="23"/>
      <c r="BD196" s="23"/>
      <c r="BE196" s="23"/>
      <c r="BF196" s="23"/>
      <c r="BG196" s="23"/>
      <c r="BH196" s="23"/>
      <c r="BI196" s="23"/>
      <c r="BJ196" s="23"/>
      <c r="BK196" s="23"/>
      <c r="BL196" s="23"/>
      <c r="BM196" s="23"/>
      <c r="BN196" s="23"/>
    </row>
    <row r="197" spans="1:66">
      <c r="A197" s="23"/>
      <c r="B197" s="100"/>
      <c r="C197" s="6"/>
      <c r="D197" s="6"/>
      <c r="E197" s="87"/>
      <c r="F197" s="93"/>
      <c r="G197" s="87"/>
      <c r="H197" s="194"/>
      <c r="I197" s="181"/>
      <c r="J197" s="6"/>
      <c r="K197" s="6"/>
      <c r="L197" s="175"/>
      <c r="M197" s="197"/>
      <c r="N197" s="273">
        <v>4.0369504125538613</v>
      </c>
      <c r="O197" s="196"/>
      <c r="P197" s="199"/>
      <c r="Q197" s="196"/>
      <c r="R197" s="196"/>
      <c r="S197" s="196"/>
      <c r="T197" s="196"/>
      <c r="U197" s="196"/>
      <c r="V197" s="196"/>
      <c r="W197" s="196"/>
      <c r="X197" s="196"/>
      <c r="Y197" s="196"/>
      <c r="Z197" s="196"/>
      <c r="AA197" s="196"/>
      <c r="AB197" s="196"/>
      <c r="AC197" s="196"/>
      <c r="AD197" s="181"/>
      <c r="AE197" s="6"/>
      <c r="AF197" s="6"/>
      <c r="AG197" s="6"/>
      <c r="AH197" s="6"/>
      <c r="AI197" s="6"/>
      <c r="AJ197" s="6"/>
      <c r="AK197" s="6"/>
      <c r="AL197" s="6"/>
      <c r="AM197" s="30"/>
      <c r="AN197" s="198"/>
      <c r="AO197" s="196"/>
      <c r="AP197" s="196"/>
      <c r="AQ197" s="196"/>
      <c r="AR197" s="196"/>
      <c r="AS197" s="196"/>
      <c r="AT197" s="196"/>
      <c r="AU197" s="196"/>
      <c r="AV197" s="196"/>
      <c r="AW197" s="196"/>
      <c r="AX197" s="198"/>
      <c r="AY197" s="164"/>
      <c r="AZ197" s="23"/>
      <c r="BA197" s="23"/>
      <c r="BB197" s="23"/>
      <c r="BC197" s="23"/>
      <c r="BD197" s="23"/>
      <c r="BE197" s="23"/>
      <c r="BF197" s="23"/>
      <c r="BG197" s="23"/>
      <c r="BH197" s="23"/>
      <c r="BI197" s="23"/>
      <c r="BJ197" s="23"/>
      <c r="BK197" s="23"/>
      <c r="BL197" s="23"/>
      <c r="BM197" s="23"/>
      <c r="BN197" s="23"/>
    </row>
    <row r="198" spans="1:66">
      <c r="A198" s="23"/>
      <c r="B198" s="100"/>
      <c r="C198" s="6"/>
      <c r="D198" s="6"/>
      <c r="E198" s="87"/>
      <c r="F198" s="93"/>
      <c r="G198" s="87"/>
      <c r="H198" s="194"/>
      <c r="I198" s="181"/>
      <c r="J198" s="6"/>
      <c r="K198" s="6"/>
      <c r="L198" s="175"/>
      <c r="M198" s="197"/>
      <c r="N198" s="273">
        <v>4.0369504125538613</v>
      </c>
      <c r="O198" s="196"/>
      <c r="P198" s="199"/>
      <c r="Q198" s="196"/>
      <c r="R198" s="196"/>
      <c r="S198" s="196"/>
      <c r="T198" s="196"/>
      <c r="U198" s="196"/>
      <c r="V198" s="196"/>
      <c r="W198" s="196"/>
      <c r="X198" s="196"/>
      <c r="Y198" s="196"/>
      <c r="Z198" s="196"/>
      <c r="AA198" s="196"/>
      <c r="AB198" s="196"/>
      <c r="AC198" s="196"/>
      <c r="AD198" s="181"/>
      <c r="AE198" s="6"/>
      <c r="AF198" s="6"/>
      <c r="AG198" s="6"/>
      <c r="AH198" s="6"/>
      <c r="AI198" s="6"/>
      <c r="AJ198" s="6"/>
      <c r="AK198" s="6"/>
      <c r="AL198" s="6"/>
      <c r="AM198" s="30"/>
      <c r="AN198" s="198"/>
      <c r="AO198" s="196"/>
      <c r="AP198" s="196"/>
      <c r="AQ198" s="196"/>
      <c r="AR198" s="196"/>
      <c r="AS198" s="196"/>
      <c r="AT198" s="196"/>
      <c r="AU198" s="196"/>
      <c r="AV198" s="196"/>
      <c r="AW198" s="196"/>
      <c r="AX198" s="198"/>
      <c r="AY198" s="164"/>
      <c r="AZ198" s="23"/>
      <c r="BA198" s="23"/>
      <c r="BB198" s="23"/>
      <c r="BC198" s="23"/>
      <c r="BD198" s="23"/>
      <c r="BE198" s="23"/>
      <c r="BF198" s="23"/>
      <c r="BG198" s="23"/>
      <c r="BH198" s="23"/>
      <c r="BI198" s="23"/>
      <c r="BJ198" s="23"/>
      <c r="BK198" s="23"/>
      <c r="BL198" s="23"/>
      <c r="BM198" s="23"/>
      <c r="BN198" s="23"/>
    </row>
    <row r="199" spans="1:66">
      <c r="A199" s="23"/>
      <c r="B199" s="100"/>
      <c r="C199" s="6"/>
      <c r="D199" s="6"/>
      <c r="E199" s="87"/>
      <c r="F199" s="93"/>
      <c r="G199" s="87"/>
      <c r="H199" s="194"/>
      <c r="I199" s="181"/>
      <c r="J199" s="6"/>
      <c r="K199" s="6"/>
      <c r="L199" s="175"/>
      <c r="M199" s="197"/>
      <c r="N199" s="273">
        <v>4.0369504125538613</v>
      </c>
      <c r="O199" s="196"/>
      <c r="P199" s="199"/>
      <c r="Q199" s="196"/>
      <c r="R199" s="196"/>
      <c r="S199" s="196"/>
      <c r="T199" s="196"/>
      <c r="U199" s="196"/>
      <c r="V199" s="196"/>
      <c r="W199" s="196"/>
      <c r="X199" s="196"/>
      <c r="Y199" s="196"/>
      <c r="Z199" s="196"/>
      <c r="AA199" s="196"/>
      <c r="AB199" s="196"/>
      <c r="AC199" s="196"/>
      <c r="AD199" s="181"/>
      <c r="AE199" s="6"/>
      <c r="AF199" s="6"/>
      <c r="AG199" s="6"/>
      <c r="AH199" s="6"/>
      <c r="AI199" s="6"/>
      <c r="AJ199" s="6"/>
      <c r="AK199" s="6"/>
      <c r="AL199" s="6"/>
      <c r="AM199" s="30"/>
      <c r="AN199" s="198"/>
      <c r="AO199" s="196"/>
      <c r="AP199" s="196"/>
      <c r="AQ199" s="196"/>
      <c r="AR199" s="196"/>
      <c r="AS199" s="196"/>
      <c r="AT199" s="196"/>
      <c r="AU199" s="196"/>
      <c r="AV199" s="196"/>
      <c r="AW199" s="196"/>
      <c r="AX199" s="198"/>
      <c r="AY199" s="164"/>
      <c r="AZ199" s="23"/>
      <c r="BA199" s="23"/>
      <c r="BB199" s="23"/>
      <c r="BC199" s="23"/>
      <c r="BD199" s="23"/>
      <c r="BE199" s="23"/>
      <c r="BF199" s="23"/>
      <c r="BG199" s="23"/>
      <c r="BH199" s="23"/>
      <c r="BI199" s="23"/>
      <c r="BJ199" s="23"/>
      <c r="BK199" s="23"/>
      <c r="BL199" s="23"/>
      <c r="BM199" s="23"/>
      <c r="BN199" s="23"/>
    </row>
    <row r="200" spans="1:66">
      <c r="A200" s="23"/>
      <c r="B200" s="100"/>
      <c r="C200" s="6"/>
      <c r="D200" s="6"/>
      <c r="E200" s="87"/>
      <c r="F200" s="93"/>
      <c r="G200" s="87"/>
      <c r="H200" s="194"/>
      <c r="I200" s="181"/>
      <c r="J200" s="6"/>
      <c r="K200" s="6"/>
      <c r="L200" s="175"/>
      <c r="M200" s="197"/>
      <c r="N200" s="273">
        <v>4.0369504125538613</v>
      </c>
      <c r="O200" s="196"/>
      <c r="P200" s="199"/>
      <c r="Q200" s="196"/>
      <c r="R200" s="196"/>
      <c r="S200" s="196"/>
      <c r="T200" s="196"/>
      <c r="U200" s="196"/>
      <c r="V200" s="196"/>
      <c r="W200" s="196"/>
      <c r="X200" s="196"/>
      <c r="Y200" s="196"/>
      <c r="Z200" s="196"/>
      <c r="AA200" s="196"/>
      <c r="AB200" s="196"/>
      <c r="AC200" s="196"/>
      <c r="AD200" s="181"/>
      <c r="AE200" s="6"/>
      <c r="AF200" s="6"/>
      <c r="AG200" s="6"/>
      <c r="AH200" s="6"/>
      <c r="AI200" s="6"/>
      <c r="AJ200" s="6"/>
      <c r="AK200" s="6"/>
      <c r="AL200" s="6"/>
      <c r="AM200" s="30"/>
      <c r="AN200" s="198"/>
      <c r="AO200" s="196"/>
      <c r="AP200" s="196"/>
      <c r="AQ200" s="196"/>
      <c r="AR200" s="196"/>
      <c r="AS200" s="196"/>
      <c r="AT200" s="196"/>
      <c r="AU200" s="196"/>
      <c r="AV200" s="196"/>
      <c r="AW200" s="196"/>
      <c r="AX200" s="198"/>
      <c r="AY200" s="164"/>
      <c r="AZ200" s="23"/>
      <c r="BA200" s="23"/>
      <c r="BB200" s="23"/>
      <c r="BC200" s="23"/>
      <c r="BD200" s="23"/>
      <c r="BE200" s="23"/>
      <c r="BF200" s="23"/>
      <c r="BG200" s="23"/>
      <c r="BH200" s="23"/>
      <c r="BI200" s="23"/>
      <c r="BJ200" s="23"/>
      <c r="BK200" s="23"/>
      <c r="BL200" s="23"/>
      <c r="BM200" s="23"/>
      <c r="BN200" s="23"/>
    </row>
    <row r="201" spans="1:66">
      <c r="A201" s="23"/>
      <c r="B201" s="100"/>
      <c r="C201" s="6"/>
      <c r="D201" s="6"/>
      <c r="E201" s="87"/>
      <c r="F201" s="93"/>
      <c r="G201" s="87"/>
      <c r="H201" s="194"/>
      <c r="I201" s="181"/>
      <c r="J201" s="6"/>
      <c r="K201" s="6"/>
      <c r="L201" s="175"/>
      <c r="M201" s="197"/>
      <c r="N201" s="273">
        <v>4.0369504125538613</v>
      </c>
      <c r="O201" s="196"/>
      <c r="P201" s="199"/>
      <c r="Q201" s="196"/>
      <c r="R201" s="196"/>
      <c r="S201" s="196"/>
      <c r="T201" s="196"/>
      <c r="U201" s="196"/>
      <c r="V201" s="196"/>
      <c r="W201" s="196"/>
      <c r="X201" s="196"/>
      <c r="Y201" s="196"/>
      <c r="Z201" s="196"/>
      <c r="AA201" s="196"/>
      <c r="AB201" s="196"/>
      <c r="AC201" s="196"/>
      <c r="AD201" s="181"/>
      <c r="AE201" s="6"/>
      <c r="AF201" s="6"/>
      <c r="AG201" s="6"/>
      <c r="AH201" s="6"/>
      <c r="AI201" s="6"/>
      <c r="AJ201" s="6"/>
      <c r="AK201" s="6"/>
      <c r="AL201" s="6"/>
      <c r="AM201" s="30"/>
      <c r="AN201" s="198"/>
      <c r="AO201" s="196"/>
      <c r="AP201" s="196"/>
      <c r="AQ201" s="196"/>
      <c r="AR201" s="196"/>
      <c r="AS201" s="196"/>
      <c r="AT201" s="196"/>
      <c r="AU201" s="196"/>
      <c r="AV201" s="196"/>
      <c r="AW201" s="196"/>
      <c r="AX201" s="198"/>
      <c r="AY201" s="164"/>
      <c r="AZ201" s="23"/>
      <c r="BA201" s="23"/>
      <c r="BB201" s="23"/>
      <c r="BC201" s="23"/>
      <c r="BD201" s="23"/>
      <c r="BE201" s="23"/>
      <c r="BF201" s="23"/>
      <c r="BG201" s="23"/>
      <c r="BH201" s="23"/>
      <c r="BI201" s="23"/>
      <c r="BJ201" s="23"/>
      <c r="BK201" s="23"/>
      <c r="BL201" s="23"/>
      <c r="BM201" s="23"/>
      <c r="BN201" s="23"/>
    </row>
    <row r="202" spans="1:66">
      <c r="A202" s="23"/>
      <c r="B202" s="100"/>
      <c r="C202" s="6"/>
      <c r="D202" s="6"/>
      <c r="E202" s="87"/>
      <c r="F202" s="93"/>
      <c r="G202" s="87"/>
      <c r="H202" s="194"/>
      <c r="I202" s="181"/>
      <c r="J202" s="6"/>
      <c r="K202" s="6"/>
      <c r="L202" s="175"/>
      <c r="M202" s="197"/>
      <c r="N202" s="273">
        <v>4.0369504125538613</v>
      </c>
      <c r="O202" s="196"/>
      <c r="P202" s="199"/>
      <c r="Q202" s="196"/>
      <c r="R202" s="196"/>
      <c r="S202" s="196"/>
      <c r="T202" s="196"/>
      <c r="U202" s="196"/>
      <c r="V202" s="196"/>
      <c r="W202" s="196"/>
      <c r="X202" s="196"/>
      <c r="Y202" s="196"/>
      <c r="Z202" s="196"/>
      <c r="AA202" s="196"/>
      <c r="AB202" s="196"/>
      <c r="AC202" s="196"/>
      <c r="AD202" s="181"/>
      <c r="AE202" s="6"/>
      <c r="AF202" s="6"/>
      <c r="AG202" s="6"/>
      <c r="AH202" s="6"/>
      <c r="AI202" s="6"/>
      <c r="AJ202" s="6"/>
      <c r="AK202" s="6"/>
      <c r="AL202" s="6"/>
      <c r="AM202" s="30"/>
      <c r="AN202" s="198"/>
      <c r="AO202" s="196"/>
      <c r="AP202" s="196"/>
      <c r="AQ202" s="196"/>
      <c r="AR202" s="196"/>
      <c r="AS202" s="196"/>
      <c r="AT202" s="196"/>
      <c r="AU202" s="196"/>
      <c r="AV202" s="196"/>
      <c r="AW202" s="196"/>
      <c r="AX202" s="198"/>
      <c r="AY202" s="164"/>
      <c r="AZ202" s="23"/>
      <c r="BA202" s="23"/>
      <c r="BB202" s="23"/>
      <c r="BC202" s="23"/>
      <c r="BD202" s="23"/>
      <c r="BE202" s="23"/>
      <c r="BF202" s="23"/>
      <c r="BG202" s="23"/>
      <c r="BH202" s="23"/>
      <c r="BI202" s="23"/>
      <c r="BJ202" s="23"/>
      <c r="BK202" s="23"/>
      <c r="BL202" s="23"/>
      <c r="BM202" s="23"/>
      <c r="BN202" s="23"/>
    </row>
    <row r="203" spans="1:66">
      <c r="A203" s="23"/>
      <c r="B203" s="100"/>
      <c r="C203" s="6"/>
      <c r="D203" s="6"/>
      <c r="E203" s="87"/>
      <c r="F203" s="93"/>
      <c r="G203" s="87"/>
      <c r="H203" s="194"/>
      <c r="I203" s="181"/>
      <c r="J203" s="6"/>
      <c r="K203" s="6"/>
      <c r="L203" s="175"/>
      <c r="M203" s="197"/>
      <c r="N203" s="273">
        <v>4.0369504125538613</v>
      </c>
      <c r="O203" s="196"/>
      <c r="P203" s="199"/>
      <c r="Q203" s="196"/>
      <c r="R203" s="196"/>
      <c r="S203" s="196"/>
      <c r="T203" s="196"/>
      <c r="U203" s="196"/>
      <c r="V203" s="196"/>
      <c r="W203" s="196"/>
      <c r="X203" s="196"/>
      <c r="Y203" s="196"/>
      <c r="Z203" s="196"/>
      <c r="AA203" s="196"/>
      <c r="AB203" s="196"/>
      <c r="AC203" s="196"/>
      <c r="AD203" s="181"/>
      <c r="AE203" s="6"/>
      <c r="AF203" s="6"/>
      <c r="AG203" s="6"/>
      <c r="AH203" s="6"/>
      <c r="AI203" s="6"/>
      <c r="AJ203" s="6"/>
      <c r="AK203" s="6"/>
      <c r="AL203" s="6"/>
      <c r="AM203" s="30"/>
      <c r="AN203" s="198"/>
      <c r="AO203" s="196"/>
      <c r="AP203" s="196"/>
      <c r="AQ203" s="196"/>
      <c r="AR203" s="196"/>
      <c r="AS203" s="196"/>
      <c r="AT203" s="196"/>
      <c r="AU203" s="196"/>
      <c r="AV203" s="196"/>
      <c r="AW203" s="196"/>
      <c r="AX203" s="198"/>
      <c r="AY203" s="164"/>
      <c r="AZ203" s="23"/>
      <c r="BA203" s="23"/>
      <c r="BB203" s="23"/>
      <c r="BC203" s="23"/>
      <c r="BD203" s="23"/>
      <c r="BE203" s="23"/>
      <c r="BF203" s="23"/>
      <c r="BG203" s="23"/>
      <c r="BH203" s="23"/>
      <c r="BI203" s="23"/>
      <c r="BJ203" s="23"/>
      <c r="BK203" s="23"/>
      <c r="BL203" s="23"/>
      <c r="BM203" s="23"/>
      <c r="BN203" s="23"/>
    </row>
    <row r="204" spans="1:66">
      <c r="A204" s="23"/>
      <c r="B204" s="100"/>
      <c r="C204" s="6"/>
      <c r="D204" s="6"/>
      <c r="E204" s="87"/>
      <c r="F204" s="93"/>
      <c r="G204" s="87"/>
      <c r="H204" s="194"/>
      <c r="I204" s="181"/>
      <c r="J204" s="6"/>
      <c r="K204" s="6"/>
      <c r="L204" s="175"/>
      <c r="M204" s="197"/>
      <c r="N204" s="273">
        <v>4.0369504125538613</v>
      </c>
      <c r="O204" s="196"/>
      <c r="P204" s="199"/>
      <c r="Q204" s="196"/>
      <c r="R204" s="196"/>
      <c r="S204" s="196"/>
      <c r="T204" s="196"/>
      <c r="U204" s="196"/>
      <c r="V204" s="196"/>
      <c r="W204" s="196"/>
      <c r="X204" s="196"/>
      <c r="Y204" s="196"/>
      <c r="Z204" s="196"/>
      <c r="AA204" s="196"/>
      <c r="AB204" s="196"/>
      <c r="AC204" s="196"/>
      <c r="AD204" s="181"/>
      <c r="AE204" s="6"/>
      <c r="AF204" s="6"/>
      <c r="AG204" s="6"/>
      <c r="AH204" s="6"/>
      <c r="AI204" s="6"/>
      <c r="AJ204" s="6"/>
      <c r="AK204" s="6"/>
      <c r="AL204" s="6"/>
      <c r="AM204" s="30"/>
      <c r="AN204" s="198"/>
      <c r="AO204" s="196"/>
      <c r="AP204" s="196"/>
      <c r="AQ204" s="196"/>
      <c r="AR204" s="196"/>
      <c r="AS204" s="196"/>
      <c r="AT204" s="196"/>
      <c r="AU204" s="196"/>
      <c r="AV204" s="196"/>
      <c r="AW204" s="196"/>
      <c r="AX204" s="198"/>
      <c r="AY204" s="164"/>
      <c r="AZ204" s="23"/>
      <c r="BA204" s="23"/>
      <c r="BB204" s="23"/>
      <c r="BC204" s="23"/>
      <c r="BD204" s="23"/>
      <c r="BE204" s="23"/>
      <c r="BF204" s="23"/>
      <c r="BG204" s="23"/>
      <c r="BH204" s="23"/>
      <c r="BI204" s="23"/>
      <c r="BJ204" s="23"/>
      <c r="BK204" s="23"/>
      <c r="BL204" s="23"/>
      <c r="BM204" s="23"/>
      <c r="BN204" s="23"/>
    </row>
    <row r="205" spans="1:66">
      <c r="A205" s="23"/>
      <c r="B205" s="100"/>
      <c r="C205" s="6"/>
      <c r="D205" s="6"/>
      <c r="E205" s="87"/>
      <c r="F205" s="93"/>
      <c r="G205" s="87"/>
      <c r="H205" s="194"/>
      <c r="I205" s="181"/>
      <c r="J205" s="6"/>
      <c r="K205" s="6"/>
      <c r="L205" s="175"/>
      <c r="M205" s="197"/>
      <c r="N205" s="273">
        <v>4.0369504125538613</v>
      </c>
      <c r="O205" s="196"/>
      <c r="P205" s="199"/>
      <c r="Q205" s="196"/>
      <c r="R205" s="196"/>
      <c r="S205" s="196"/>
      <c r="T205" s="196"/>
      <c r="U205" s="196"/>
      <c r="V205" s="196"/>
      <c r="W205" s="196"/>
      <c r="X205" s="196"/>
      <c r="Y205" s="196"/>
      <c r="Z205" s="196"/>
      <c r="AA205" s="196"/>
      <c r="AB205" s="196"/>
      <c r="AC205" s="196"/>
      <c r="AD205" s="181"/>
      <c r="AE205" s="6"/>
      <c r="AF205" s="6"/>
      <c r="AG205" s="6"/>
      <c r="AH205" s="6"/>
      <c r="AI205" s="6"/>
      <c r="AJ205" s="6"/>
      <c r="AK205" s="6"/>
      <c r="AL205" s="6"/>
      <c r="AM205" s="30"/>
      <c r="AN205" s="198"/>
      <c r="AO205" s="196"/>
      <c r="AP205" s="196"/>
      <c r="AQ205" s="196"/>
      <c r="AR205" s="196"/>
      <c r="AS205" s="196"/>
      <c r="AT205" s="196"/>
      <c r="AU205" s="196"/>
      <c r="AV205" s="196"/>
      <c r="AW205" s="196"/>
      <c r="AX205" s="198"/>
      <c r="AY205" s="164"/>
      <c r="AZ205" s="23"/>
      <c r="BA205" s="23"/>
      <c r="BB205" s="23"/>
      <c r="BC205" s="23"/>
      <c r="BD205" s="23"/>
      <c r="BE205" s="23"/>
      <c r="BF205" s="23"/>
      <c r="BG205" s="23"/>
      <c r="BH205" s="23"/>
      <c r="BI205" s="23"/>
      <c r="BJ205" s="23"/>
      <c r="BK205" s="23"/>
      <c r="BL205" s="23"/>
      <c r="BM205" s="23"/>
      <c r="BN205" s="23"/>
    </row>
    <row r="206" spans="1:66">
      <c r="A206" s="23"/>
      <c r="B206" s="100"/>
      <c r="C206" s="6"/>
      <c r="D206" s="6"/>
      <c r="E206" s="87"/>
      <c r="F206" s="93"/>
      <c r="G206" s="87"/>
      <c r="H206" s="194"/>
      <c r="I206" s="181"/>
      <c r="J206" s="6"/>
      <c r="K206" s="6"/>
      <c r="L206" s="175"/>
      <c r="M206" s="197"/>
      <c r="N206" s="273">
        <v>4.0369504125538613</v>
      </c>
      <c r="O206" s="196"/>
      <c r="P206" s="199"/>
      <c r="Q206" s="196"/>
      <c r="R206" s="196"/>
      <c r="S206" s="196"/>
      <c r="T206" s="196"/>
      <c r="U206" s="196"/>
      <c r="V206" s="196"/>
      <c r="W206" s="196"/>
      <c r="X206" s="196"/>
      <c r="Y206" s="196"/>
      <c r="Z206" s="196"/>
      <c r="AA206" s="196"/>
      <c r="AB206" s="196"/>
      <c r="AC206" s="196"/>
      <c r="AD206" s="181"/>
      <c r="AE206" s="6"/>
      <c r="AF206" s="6"/>
      <c r="AG206" s="6"/>
      <c r="AH206" s="6"/>
      <c r="AI206" s="6"/>
      <c r="AJ206" s="6"/>
      <c r="AK206" s="6"/>
      <c r="AL206" s="6"/>
      <c r="AM206" s="30"/>
      <c r="AN206" s="198"/>
      <c r="AO206" s="196"/>
      <c r="AP206" s="196"/>
      <c r="AQ206" s="196"/>
      <c r="AR206" s="196"/>
      <c r="AS206" s="196"/>
      <c r="AT206" s="196"/>
      <c r="AU206" s="196"/>
      <c r="AV206" s="196"/>
      <c r="AW206" s="196"/>
      <c r="AX206" s="198"/>
      <c r="AY206" s="164"/>
      <c r="AZ206" s="23"/>
      <c r="BA206" s="23"/>
      <c r="BB206" s="23"/>
      <c r="BC206" s="23"/>
      <c r="BD206" s="23"/>
      <c r="BE206" s="23"/>
      <c r="BF206" s="23"/>
      <c r="BG206" s="23"/>
      <c r="BH206" s="23"/>
      <c r="BI206" s="23"/>
      <c r="BJ206" s="23"/>
      <c r="BK206" s="23"/>
      <c r="BL206" s="23"/>
      <c r="BM206" s="23"/>
      <c r="BN206" s="23"/>
    </row>
    <row r="207" spans="1:66">
      <c r="A207" s="23"/>
      <c r="B207" s="100"/>
      <c r="C207" s="6"/>
      <c r="D207" s="6"/>
      <c r="E207" s="87"/>
      <c r="F207" s="93"/>
      <c r="G207" s="87"/>
      <c r="H207" s="194"/>
      <c r="I207" s="181"/>
      <c r="J207" s="6"/>
      <c r="K207" s="6"/>
      <c r="L207" s="175"/>
      <c r="M207" s="197"/>
      <c r="N207" s="273">
        <v>4.0369504125538613</v>
      </c>
      <c r="O207" s="196"/>
      <c r="P207" s="199"/>
      <c r="Q207" s="196"/>
      <c r="R207" s="196"/>
      <c r="S207" s="196"/>
      <c r="T207" s="196"/>
      <c r="U207" s="196"/>
      <c r="V207" s="196"/>
      <c r="W207" s="196"/>
      <c r="X207" s="196"/>
      <c r="Y207" s="196"/>
      <c r="Z207" s="196"/>
      <c r="AA207" s="196"/>
      <c r="AB207" s="196"/>
      <c r="AC207" s="196"/>
      <c r="AD207" s="181"/>
      <c r="AE207" s="6"/>
      <c r="AF207" s="6"/>
      <c r="AG207" s="6"/>
      <c r="AH207" s="6"/>
      <c r="AI207" s="6"/>
      <c r="AJ207" s="6"/>
      <c r="AK207" s="6"/>
      <c r="AL207" s="6"/>
      <c r="AM207" s="30"/>
      <c r="AN207" s="198"/>
      <c r="AO207" s="196"/>
      <c r="AP207" s="196"/>
      <c r="AQ207" s="196"/>
      <c r="AR207" s="196"/>
      <c r="AS207" s="196"/>
      <c r="AT207" s="196"/>
      <c r="AU207" s="196"/>
      <c r="AV207" s="196"/>
      <c r="AW207" s="196"/>
      <c r="AX207" s="198"/>
      <c r="AY207" s="164"/>
      <c r="AZ207" s="23"/>
      <c r="BA207" s="23"/>
      <c r="BB207" s="23"/>
      <c r="BC207" s="23"/>
      <c r="BD207" s="23"/>
      <c r="BE207" s="23"/>
      <c r="BF207" s="23"/>
      <c r="BG207" s="23"/>
      <c r="BH207" s="23"/>
      <c r="BI207" s="23"/>
      <c r="BJ207" s="23"/>
      <c r="BK207" s="23"/>
      <c r="BL207" s="23"/>
      <c r="BM207" s="23"/>
      <c r="BN207" s="23"/>
    </row>
    <row r="208" spans="1:66">
      <c r="A208" s="23"/>
      <c r="B208" s="100"/>
      <c r="C208" s="6"/>
      <c r="D208" s="6"/>
      <c r="E208" s="87"/>
      <c r="F208" s="93"/>
      <c r="G208" s="87"/>
      <c r="H208" s="194"/>
      <c r="I208" s="181"/>
      <c r="J208" s="6"/>
      <c r="K208" s="6"/>
      <c r="L208" s="175"/>
      <c r="M208" s="197"/>
      <c r="N208" s="273">
        <v>4.0369504125538613</v>
      </c>
      <c r="O208" s="196"/>
      <c r="P208" s="199"/>
      <c r="Q208" s="196"/>
      <c r="R208" s="196"/>
      <c r="S208" s="196"/>
      <c r="T208" s="196"/>
      <c r="U208" s="196"/>
      <c r="V208" s="196"/>
      <c r="W208" s="196"/>
      <c r="X208" s="196"/>
      <c r="Y208" s="196"/>
      <c r="Z208" s="196"/>
      <c r="AA208" s="196"/>
      <c r="AB208" s="196"/>
      <c r="AC208" s="196"/>
      <c r="AD208" s="181"/>
      <c r="AE208" s="6"/>
      <c r="AF208" s="6"/>
      <c r="AG208" s="6"/>
      <c r="AH208" s="6"/>
      <c r="AI208" s="6"/>
      <c r="AJ208" s="6"/>
      <c r="AK208" s="6"/>
      <c r="AL208" s="6"/>
      <c r="AM208" s="30"/>
      <c r="AN208" s="198"/>
      <c r="AO208" s="196"/>
      <c r="AP208" s="196"/>
      <c r="AQ208" s="196"/>
      <c r="AR208" s="196"/>
      <c r="AS208" s="196"/>
      <c r="AT208" s="196"/>
      <c r="AU208" s="196"/>
      <c r="AV208" s="196"/>
      <c r="AW208" s="196"/>
      <c r="AX208" s="198"/>
      <c r="AY208" s="164"/>
      <c r="AZ208" s="23"/>
      <c r="BA208" s="23"/>
      <c r="BB208" s="23"/>
      <c r="BC208" s="23"/>
      <c r="BD208" s="23"/>
      <c r="BE208" s="23"/>
      <c r="BF208" s="23"/>
      <c r="BG208" s="23"/>
      <c r="BH208" s="23"/>
      <c r="BI208" s="23"/>
      <c r="BJ208" s="23"/>
      <c r="BK208" s="23"/>
      <c r="BL208" s="23"/>
      <c r="BM208" s="23"/>
      <c r="BN208" s="23"/>
    </row>
    <row r="209" spans="1:66">
      <c r="A209" s="23"/>
      <c r="B209" s="100"/>
      <c r="C209" s="6"/>
      <c r="D209" s="6"/>
      <c r="E209" s="87"/>
      <c r="F209" s="93"/>
      <c r="G209" s="87"/>
      <c r="H209" s="194"/>
      <c r="I209" s="181"/>
      <c r="J209" s="6"/>
      <c r="K209" s="6"/>
      <c r="L209" s="175"/>
      <c r="M209" s="197"/>
      <c r="N209" s="273">
        <v>4.0369504125538613</v>
      </c>
      <c r="O209" s="196"/>
      <c r="P209" s="199"/>
      <c r="Q209" s="196"/>
      <c r="R209" s="196"/>
      <c r="S209" s="196"/>
      <c r="T209" s="196"/>
      <c r="U209" s="196"/>
      <c r="V209" s="196"/>
      <c r="W209" s="196"/>
      <c r="X209" s="196"/>
      <c r="Y209" s="196"/>
      <c r="Z209" s="196"/>
      <c r="AA209" s="196"/>
      <c r="AB209" s="196"/>
      <c r="AC209" s="196"/>
      <c r="AD209" s="181"/>
      <c r="AE209" s="6"/>
      <c r="AF209" s="6"/>
      <c r="AG209" s="6"/>
      <c r="AH209" s="6"/>
      <c r="AI209" s="6"/>
      <c r="AJ209" s="6"/>
      <c r="AK209" s="6"/>
      <c r="AL209" s="6"/>
      <c r="AM209" s="30"/>
      <c r="AN209" s="198"/>
      <c r="AO209" s="196"/>
      <c r="AP209" s="196"/>
      <c r="AQ209" s="196"/>
      <c r="AR209" s="196"/>
      <c r="AS209" s="196"/>
      <c r="AT209" s="196"/>
      <c r="AU209" s="196"/>
      <c r="AV209" s="196"/>
      <c r="AW209" s="196"/>
      <c r="AX209" s="198"/>
      <c r="AY209" s="164"/>
      <c r="AZ209" s="23"/>
      <c r="BA209" s="23"/>
      <c r="BB209" s="23"/>
      <c r="BC209" s="23"/>
      <c r="BD209" s="23"/>
      <c r="BE209" s="23"/>
      <c r="BF209" s="23"/>
      <c r="BG209" s="23"/>
      <c r="BH209" s="23"/>
      <c r="BI209" s="23"/>
      <c r="BJ209" s="23"/>
      <c r="BK209" s="23"/>
      <c r="BL209" s="23"/>
      <c r="BM209" s="23"/>
      <c r="BN209" s="23"/>
    </row>
    <row r="210" spans="1:66">
      <c r="A210" s="23"/>
      <c r="B210" s="100"/>
      <c r="C210" s="6"/>
      <c r="D210" s="6"/>
      <c r="E210" s="87"/>
      <c r="F210" s="93"/>
      <c r="G210" s="87"/>
      <c r="H210" s="194"/>
      <c r="I210" s="181"/>
      <c r="J210" s="6"/>
      <c r="K210" s="6"/>
      <c r="L210" s="175"/>
      <c r="M210" s="197"/>
      <c r="N210" s="273">
        <v>4.0369504125538613</v>
      </c>
      <c r="O210" s="196"/>
      <c r="P210" s="199"/>
      <c r="Q210" s="196"/>
      <c r="R210" s="196"/>
      <c r="S210" s="196"/>
      <c r="T210" s="196"/>
      <c r="U210" s="196"/>
      <c r="V210" s="196"/>
      <c r="W210" s="196"/>
      <c r="X210" s="196"/>
      <c r="Y210" s="196"/>
      <c r="Z210" s="196"/>
      <c r="AA210" s="196"/>
      <c r="AB210" s="196"/>
      <c r="AC210" s="196"/>
      <c r="AD210" s="181"/>
      <c r="AE210" s="6"/>
      <c r="AF210" s="6"/>
      <c r="AG210" s="6"/>
      <c r="AH210" s="6"/>
      <c r="AI210" s="6"/>
      <c r="AJ210" s="6"/>
      <c r="AK210" s="6"/>
      <c r="AL210" s="6"/>
      <c r="AM210" s="30"/>
      <c r="AN210" s="198"/>
      <c r="AO210" s="196"/>
      <c r="AP210" s="196"/>
      <c r="AQ210" s="196"/>
      <c r="AR210" s="196"/>
      <c r="AS210" s="196"/>
      <c r="AT210" s="196"/>
      <c r="AU210" s="196"/>
      <c r="AV210" s="196"/>
      <c r="AW210" s="196"/>
      <c r="AX210" s="198"/>
      <c r="AY210" s="164"/>
      <c r="AZ210" s="23"/>
      <c r="BA210" s="23"/>
      <c r="BB210" s="23"/>
      <c r="BC210" s="23"/>
      <c r="BD210" s="23"/>
      <c r="BE210" s="23"/>
      <c r="BF210" s="23"/>
      <c r="BG210" s="23"/>
      <c r="BH210" s="23"/>
      <c r="BI210" s="23"/>
      <c r="BJ210" s="23"/>
      <c r="BK210" s="23"/>
      <c r="BL210" s="23"/>
      <c r="BM210" s="23"/>
      <c r="BN210" s="23"/>
    </row>
    <row r="211" spans="1:66">
      <c r="A211" s="23"/>
      <c r="B211" s="100"/>
      <c r="C211" s="6"/>
      <c r="D211" s="6"/>
      <c r="E211" s="87"/>
      <c r="F211" s="93"/>
      <c r="G211" s="87"/>
      <c r="H211" s="194"/>
      <c r="I211" s="181"/>
      <c r="J211" s="6"/>
      <c r="K211" s="6"/>
      <c r="L211" s="175"/>
      <c r="M211" s="197"/>
      <c r="N211" s="273">
        <v>4.0369504125538613</v>
      </c>
      <c r="O211" s="196"/>
      <c r="P211" s="199"/>
      <c r="Q211" s="196"/>
      <c r="R211" s="196"/>
      <c r="S211" s="196"/>
      <c r="T211" s="196"/>
      <c r="U211" s="196"/>
      <c r="V211" s="196"/>
      <c r="W211" s="196"/>
      <c r="X211" s="196"/>
      <c r="Y211" s="196"/>
      <c r="Z211" s="196"/>
      <c r="AA211" s="196"/>
      <c r="AB211" s="196"/>
      <c r="AC211" s="196"/>
      <c r="AD211" s="181"/>
      <c r="AE211" s="6"/>
      <c r="AF211" s="6"/>
      <c r="AG211" s="6"/>
      <c r="AH211" s="6"/>
      <c r="AI211" s="6"/>
      <c r="AJ211" s="6"/>
      <c r="AK211" s="6"/>
      <c r="AL211" s="6"/>
      <c r="AM211" s="30"/>
      <c r="AN211" s="198"/>
      <c r="AO211" s="196"/>
      <c r="AP211" s="196"/>
      <c r="AQ211" s="196"/>
      <c r="AR211" s="196"/>
      <c r="AS211" s="196"/>
      <c r="AT211" s="196"/>
      <c r="AU211" s="196"/>
      <c r="AV211" s="196"/>
      <c r="AW211" s="196"/>
      <c r="AX211" s="198"/>
      <c r="AY211" s="164"/>
      <c r="AZ211" s="23"/>
      <c r="BA211" s="23"/>
      <c r="BB211" s="23"/>
      <c r="BC211" s="23"/>
      <c r="BD211" s="23"/>
      <c r="BE211" s="23"/>
      <c r="BF211" s="23"/>
      <c r="BG211" s="23"/>
      <c r="BH211" s="23"/>
      <c r="BI211" s="23"/>
      <c r="BJ211" s="23"/>
      <c r="BK211" s="23"/>
      <c r="BL211" s="23"/>
      <c r="BM211" s="23"/>
      <c r="BN211" s="23"/>
    </row>
    <row r="212" spans="1:66">
      <c r="A212" s="23"/>
      <c r="B212" s="100"/>
      <c r="C212" s="6"/>
      <c r="D212" s="6"/>
      <c r="E212" s="87"/>
      <c r="F212" s="93"/>
      <c r="G212" s="87"/>
      <c r="H212" s="194"/>
      <c r="I212" s="181"/>
      <c r="J212" s="6"/>
      <c r="K212" s="6"/>
      <c r="L212" s="175"/>
      <c r="M212" s="197"/>
      <c r="N212" s="273">
        <v>4.0369504125538613</v>
      </c>
      <c r="O212" s="196"/>
      <c r="P212" s="199"/>
      <c r="Q212" s="196"/>
      <c r="R212" s="196"/>
      <c r="S212" s="196"/>
      <c r="T212" s="196"/>
      <c r="U212" s="196"/>
      <c r="V212" s="196"/>
      <c r="W212" s="196"/>
      <c r="X212" s="196"/>
      <c r="Y212" s="196"/>
      <c r="Z212" s="196"/>
      <c r="AA212" s="196"/>
      <c r="AB212" s="196"/>
      <c r="AC212" s="196"/>
      <c r="AD212" s="181"/>
      <c r="AE212" s="6"/>
      <c r="AF212" s="6"/>
      <c r="AG212" s="6"/>
      <c r="AH212" s="6"/>
      <c r="AI212" s="6"/>
      <c r="AJ212" s="6"/>
      <c r="AK212" s="6"/>
      <c r="AL212" s="6"/>
      <c r="AM212" s="30"/>
      <c r="AN212" s="198"/>
      <c r="AO212" s="196"/>
      <c r="AP212" s="196"/>
      <c r="AQ212" s="196"/>
      <c r="AR212" s="196"/>
      <c r="AS212" s="196"/>
      <c r="AT212" s="196"/>
      <c r="AU212" s="196"/>
      <c r="AV212" s="196"/>
      <c r="AW212" s="196"/>
      <c r="AX212" s="198"/>
      <c r="AY212" s="164"/>
      <c r="AZ212" s="23"/>
      <c r="BA212" s="23"/>
      <c r="BB212" s="23"/>
      <c r="BC212" s="23"/>
      <c r="BD212" s="23"/>
      <c r="BE212" s="23"/>
      <c r="BF212" s="23"/>
      <c r="BG212" s="23"/>
      <c r="BH212" s="23"/>
      <c r="BI212" s="23"/>
      <c r="BJ212" s="23"/>
      <c r="BK212" s="23"/>
      <c r="BL212" s="23"/>
      <c r="BM212" s="23"/>
      <c r="BN212" s="23"/>
    </row>
    <row r="213" spans="1:66">
      <c r="A213" s="23"/>
      <c r="B213" s="100"/>
      <c r="C213" s="6"/>
      <c r="D213" s="6"/>
      <c r="E213" s="87"/>
      <c r="F213" s="93"/>
      <c r="G213" s="87"/>
      <c r="H213" s="194"/>
      <c r="I213" s="181"/>
      <c r="J213" s="6"/>
      <c r="K213" s="6"/>
      <c r="L213" s="175"/>
      <c r="M213" s="197"/>
      <c r="N213" s="273">
        <v>4.0369504125538613</v>
      </c>
      <c r="O213" s="196"/>
      <c r="P213" s="199"/>
      <c r="Q213" s="196"/>
      <c r="R213" s="196"/>
      <c r="S213" s="196"/>
      <c r="T213" s="196"/>
      <c r="U213" s="196"/>
      <c r="V213" s="196"/>
      <c r="W213" s="196"/>
      <c r="X213" s="196"/>
      <c r="Y213" s="196"/>
      <c r="Z213" s="196"/>
      <c r="AA213" s="196"/>
      <c r="AB213" s="196"/>
      <c r="AC213" s="196"/>
      <c r="AD213" s="181"/>
      <c r="AE213" s="6"/>
      <c r="AF213" s="6"/>
      <c r="AG213" s="6"/>
      <c r="AH213" s="6"/>
      <c r="AI213" s="6"/>
      <c r="AJ213" s="6"/>
      <c r="AK213" s="6"/>
      <c r="AL213" s="6"/>
      <c r="AM213" s="30"/>
      <c r="AN213" s="198"/>
      <c r="AO213" s="196"/>
      <c r="AP213" s="196"/>
      <c r="AQ213" s="196"/>
      <c r="AR213" s="196"/>
      <c r="AS213" s="196"/>
      <c r="AT213" s="196"/>
      <c r="AU213" s="196"/>
      <c r="AV213" s="196"/>
      <c r="AW213" s="196"/>
      <c r="AX213" s="198"/>
      <c r="AY213" s="164"/>
      <c r="AZ213" s="23"/>
      <c r="BA213" s="23"/>
      <c r="BB213" s="23"/>
      <c r="BC213" s="23"/>
      <c r="BD213" s="23"/>
      <c r="BE213" s="23"/>
      <c r="BF213" s="23"/>
      <c r="BG213" s="23"/>
      <c r="BH213" s="23"/>
      <c r="BI213" s="23"/>
      <c r="BJ213" s="23"/>
      <c r="BK213" s="23"/>
      <c r="BL213" s="23"/>
      <c r="BM213" s="23"/>
      <c r="BN213" s="23"/>
    </row>
    <row r="214" spans="1:66">
      <c r="A214" s="23"/>
      <c r="B214" s="100"/>
      <c r="C214" s="6"/>
      <c r="D214" s="6"/>
      <c r="E214" s="87"/>
      <c r="F214" s="93"/>
      <c r="G214" s="87"/>
      <c r="H214" s="194"/>
      <c r="I214" s="181"/>
      <c r="J214" s="6"/>
      <c r="K214" s="6"/>
      <c r="L214" s="175"/>
      <c r="M214" s="197"/>
      <c r="N214" s="273">
        <v>4.0369504125538613</v>
      </c>
      <c r="O214" s="196"/>
      <c r="P214" s="199"/>
      <c r="Q214" s="196"/>
      <c r="R214" s="196"/>
      <c r="S214" s="196"/>
      <c r="T214" s="196"/>
      <c r="U214" s="196"/>
      <c r="V214" s="196"/>
      <c r="W214" s="196"/>
      <c r="X214" s="196"/>
      <c r="Y214" s="196"/>
      <c r="Z214" s="196"/>
      <c r="AA214" s="196"/>
      <c r="AB214" s="196"/>
      <c r="AC214" s="196"/>
      <c r="AD214" s="181"/>
      <c r="AE214" s="6"/>
      <c r="AF214" s="6"/>
      <c r="AG214" s="6"/>
      <c r="AH214" s="6"/>
      <c r="AI214" s="6"/>
      <c r="AJ214" s="6"/>
      <c r="AK214" s="6"/>
      <c r="AL214" s="6"/>
      <c r="AM214" s="30"/>
      <c r="AN214" s="198"/>
      <c r="AO214" s="196"/>
      <c r="AP214" s="196"/>
      <c r="AQ214" s="196"/>
      <c r="AR214" s="196"/>
      <c r="AS214" s="196"/>
      <c r="AT214" s="196"/>
      <c r="AU214" s="196"/>
      <c r="AV214" s="196"/>
      <c r="AW214" s="196"/>
      <c r="AX214" s="198"/>
      <c r="AY214" s="164"/>
      <c r="AZ214" s="23"/>
      <c r="BA214" s="23"/>
      <c r="BB214" s="23"/>
      <c r="BC214" s="23"/>
      <c r="BD214" s="23"/>
      <c r="BE214" s="23"/>
      <c r="BF214" s="23"/>
      <c r="BG214" s="23"/>
      <c r="BH214" s="23"/>
      <c r="BI214" s="23"/>
      <c r="BJ214" s="23"/>
      <c r="BK214" s="23"/>
      <c r="BL214" s="23"/>
      <c r="BM214" s="23"/>
      <c r="BN214" s="23"/>
    </row>
    <row r="215" spans="1:66">
      <c r="A215" s="23"/>
      <c r="B215" s="100"/>
      <c r="C215" s="6"/>
      <c r="D215" s="6"/>
      <c r="E215" s="87"/>
      <c r="F215" s="93"/>
      <c r="G215" s="87"/>
      <c r="H215" s="194"/>
      <c r="I215" s="181"/>
      <c r="J215" s="6"/>
      <c r="K215" s="6"/>
      <c r="L215" s="175"/>
      <c r="M215" s="197"/>
      <c r="N215" s="273">
        <v>4.0369504125538613</v>
      </c>
      <c r="O215" s="196"/>
      <c r="P215" s="199"/>
      <c r="Q215" s="196"/>
      <c r="R215" s="196"/>
      <c r="S215" s="196"/>
      <c r="T215" s="196"/>
      <c r="U215" s="196"/>
      <c r="V215" s="196"/>
      <c r="W215" s="196"/>
      <c r="X215" s="196"/>
      <c r="Y215" s="196"/>
      <c r="Z215" s="196"/>
      <c r="AA215" s="196"/>
      <c r="AB215" s="196"/>
      <c r="AC215" s="196"/>
      <c r="AD215" s="181"/>
      <c r="AE215" s="6"/>
      <c r="AF215" s="6"/>
      <c r="AG215" s="6"/>
      <c r="AH215" s="6"/>
      <c r="AI215" s="6"/>
      <c r="AJ215" s="6"/>
      <c r="AK215" s="6"/>
      <c r="AL215" s="6"/>
      <c r="AM215" s="30"/>
      <c r="AN215" s="198"/>
      <c r="AO215" s="196"/>
      <c r="AP215" s="196"/>
      <c r="AQ215" s="196"/>
      <c r="AR215" s="196"/>
      <c r="AS215" s="196"/>
      <c r="AT215" s="196"/>
      <c r="AU215" s="196"/>
      <c r="AV215" s="196"/>
      <c r="AW215" s="196"/>
      <c r="AX215" s="198"/>
      <c r="AY215" s="164"/>
      <c r="AZ215" s="23"/>
      <c r="BA215" s="23"/>
      <c r="BB215" s="23"/>
      <c r="BC215" s="23"/>
      <c r="BD215" s="23"/>
      <c r="BE215" s="23"/>
      <c r="BF215" s="23"/>
      <c r="BG215" s="23"/>
      <c r="BH215" s="23"/>
      <c r="BI215" s="23"/>
      <c r="BJ215" s="23"/>
      <c r="BK215" s="23"/>
      <c r="BL215" s="23"/>
      <c r="BM215" s="23"/>
      <c r="BN215" s="23"/>
    </row>
    <row r="216" spans="1:66">
      <c r="A216" s="23"/>
      <c r="B216" s="100"/>
      <c r="C216" s="6"/>
      <c r="D216" s="6"/>
      <c r="E216" s="87"/>
      <c r="F216" s="93"/>
      <c r="G216" s="87"/>
      <c r="H216" s="194"/>
      <c r="I216" s="181"/>
      <c r="J216" s="6"/>
      <c r="K216" s="6"/>
      <c r="L216" s="175"/>
      <c r="M216" s="197"/>
      <c r="N216" s="273">
        <v>4.0369504125538613</v>
      </c>
      <c r="O216" s="196"/>
      <c r="P216" s="199"/>
      <c r="Q216" s="196"/>
      <c r="R216" s="196"/>
      <c r="S216" s="196"/>
      <c r="T216" s="196"/>
      <c r="U216" s="196"/>
      <c r="V216" s="196"/>
      <c r="W216" s="196"/>
      <c r="X216" s="196"/>
      <c r="Y216" s="196"/>
      <c r="Z216" s="196"/>
      <c r="AA216" s="196"/>
      <c r="AB216" s="196"/>
      <c r="AC216" s="196"/>
      <c r="AD216" s="181"/>
      <c r="AE216" s="6"/>
      <c r="AF216" s="6"/>
      <c r="AG216" s="6"/>
      <c r="AH216" s="6"/>
      <c r="AI216" s="6"/>
      <c r="AJ216" s="6"/>
      <c r="AK216" s="6"/>
      <c r="AL216" s="6"/>
      <c r="AM216" s="30"/>
      <c r="AN216" s="198"/>
      <c r="AO216" s="196"/>
      <c r="AP216" s="196"/>
      <c r="AQ216" s="196"/>
      <c r="AR216" s="196"/>
      <c r="AS216" s="196"/>
      <c r="AT216" s="196"/>
      <c r="AU216" s="196"/>
      <c r="AV216" s="196"/>
      <c r="AW216" s="196"/>
      <c r="AX216" s="198"/>
      <c r="AY216" s="164"/>
      <c r="AZ216" s="23"/>
      <c r="BA216" s="23"/>
      <c r="BB216" s="23"/>
      <c r="BC216" s="23"/>
      <c r="BD216" s="23"/>
      <c r="BE216" s="23"/>
      <c r="BF216" s="23"/>
      <c r="BG216" s="23"/>
      <c r="BH216" s="23"/>
      <c r="BI216" s="23"/>
      <c r="BJ216" s="23"/>
      <c r="BK216" s="23"/>
      <c r="BL216" s="23"/>
      <c r="BM216" s="23"/>
      <c r="BN216" s="23"/>
    </row>
    <row r="217" spans="1:66">
      <c r="A217" s="23"/>
      <c r="B217" s="100"/>
      <c r="C217" s="6"/>
      <c r="D217" s="6"/>
      <c r="E217" s="87"/>
      <c r="F217" s="93"/>
      <c r="G217" s="87"/>
      <c r="H217" s="194"/>
      <c r="I217" s="181"/>
      <c r="J217" s="6"/>
      <c r="K217" s="6"/>
      <c r="L217" s="175"/>
      <c r="M217" s="197"/>
      <c r="N217" s="273">
        <v>4.0369504125538613</v>
      </c>
      <c r="O217" s="196"/>
      <c r="P217" s="199"/>
      <c r="Q217" s="196"/>
      <c r="R217" s="196"/>
      <c r="S217" s="196"/>
      <c r="T217" s="196"/>
      <c r="U217" s="196"/>
      <c r="V217" s="196"/>
      <c r="W217" s="196"/>
      <c r="X217" s="196"/>
      <c r="Y217" s="196"/>
      <c r="Z217" s="196"/>
      <c r="AA217" s="196"/>
      <c r="AB217" s="196"/>
      <c r="AC217" s="196"/>
      <c r="AD217" s="181"/>
      <c r="AE217" s="6"/>
      <c r="AF217" s="6"/>
      <c r="AG217" s="6"/>
      <c r="AH217" s="6"/>
      <c r="AI217" s="6"/>
      <c r="AJ217" s="6"/>
      <c r="AK217" s="6"/>
      <c r="AL217" s="6"/>
      <c r="AM217" s="30"/>
      <c r="AN217" s="198"/>
      <c r="AO217" s="196"/>
      <c r="AP217" s="196"/>
      <c r="AQ217" s="196"/>
      <c r="AR217" s="196"/>
      <c r="AS217" s="196"/>
      <c r="AT217" s="196"/>
      <c r="AU217" s="196"/>
      <c r="AV217" s="196"/>
      <c r="AW217" s="196"/>
      <c r="AX217" s="198"/>
      <c r="AY217" s="164"/>
      <c r="AZ217" s="23"/>
      <c r="BA217" s="23"/>
      <c r="BB217" s="23"/>
      <c r="BC217" s="23"/>
      <c r="BD217" s="23"/>
      <c r="BE217" s="23"/>
      <c r="BF217" s="23"/>
      <c r="BG217" s="23"/>
      <c r="BH217" s="23"/>
      <c r="BI217" s="23"/>
      <c r="BJ217" s="23"/>
      <c r="BK217" s="23"/>
      <c r="BL217" s="23"/>
      <c r="BM217" s="23"/>
      <c r="BN217" s="23"/>
    </row>
    <row r="218" spans="1:66">
      <c r="A218" s="23"/>
      <c r="B218" s="100"/>
      <c r="C218" s="6"/>
      <c r="D218" s="6"/>
      <c r="E218" s="87"/>
      <c r="F218" s="93"/>
      <c r="G218" s="87"/>
      <c r="H218" s="194"/>
      <c r="I218" s="181"/>
      <c r="J218" s="6"/>
      <c r="K218" s="6"/>
      <c r="L218" s="175"/>
      <c r="M218" s="197"/>
      <c r="N218" s="273">
        <v>4.0369504125538613</v>
      </c>
      <c r="O218" s="196"/>
      <c r="P218" s="199"/>
      <c r="Q218" s="196"/>
      <c r="R218" s="196"/>
      <c r="S218" s="196"/>
      <c r="T218" s="196"/>
      <c r="U218" s="196"/>
      <c r="V218" s="196"/>
      <c r="W218" s="196"/>
      <c r="X218" s="196"/>
      <c r="Y218" s="196"/>
      <c r="Z218" s="196"/>
      <c r="AA218" s="196"/>
      <c r="AB218" s="196"/>
      <c r="AC218" s="196"/>
      <c r="AD218" s="181"/>
      <c r="AE218" s="6"/>
      <c r="AF218" s="6"/>
      <c r="AG218" s="6"/>
      <c r="AH218" s="6"/>
      <c r="AI218" s="6"/>
      <c r="AJ218" s="6"/>
      <c r="AK218" s="6"/>
      <c r="AL218" s="6"/>
      <c r="AM218" s="30"/>
      <c r="AN218" s="198"/>
      <c r="AO218" s="196"/>
      <c r="AP218" s="196"/>
      <c r="AQ218" s="196"/>
      <c r="AR218" s="196"/>
      <c r="AS218" s="196"/>
      <c r="AT218" s="196"/>
      <c r="AU218" s="196"/>
      <c r="AV218" s="196"/>
      <c r="AW218" s="196"/>
      <c r="AX218" s="198"/>
      <c r="AY218" s="164"/>
      <c r="AZ218" s="23"/>
      <c r="BA218" s="23"/>
      <c r="BB218" s="23"/>
      <c r="BC218" s="23"/>
      <c r="BD218" s="23"/>
      <c r="BE218" s="23"/>
      <c r="BF218" s="23"/>
      <c r="BG218" s="23"/>
      <c r="BH218" s="23"/>
      <c r="BI218" s="23"/>
      <c r="BJ218" s="23"/>
      <c r="BK218" s="23"/>
      <c r="BL218" s="23"/>
      <c r="BM218" s="23"/>
      <c r="BN218" s="23"/>
    </row>
    <row r="219" spans="1:66">
      <c r="A219" s="23"/>
      <c r="B219" s="100"/>
      <c r="C219" s="6"/>
      <c r="D219" s="6"/>
      <c r="E219" s="87"/>
      <c r="F219" s="93"/>
      <c r="G219" s="87"/>
      <c r="H219" s="194"/>
      <c r="I219" s="181"/>
      <c r="J219" s="6"/>
      <c r="K219" s="6"/>
      <c r="L219" s="175"/>
      <c r="M219" s="197"/>
      <c r="N219" s="273">
        <v>4.0369504125538613</v>
      </c>
      <c r="O219" s="196"/>
      <c r="P219" s="199"/>
      <c r="Q219" s="196"/>
      <c r="R219" s="196"/>
      <c r="S219" s="196"/>
      <c r="T219" s="196"/>
      <c r="U219" s="196"/>
      <c r="V219" s="196"/>
      <c r="W219" s="196"/>
      <c r="X219" s="196"/>
      <c r="Y219" s="196"/>
      <c r="Z219" s="196"/>
      <c r="AA219" s="196"/>
      <c r="AB219" s="196"/>
      <c r="AC219" s="196"/>
      <c r="AD219" s="181"/>
      <c r="AE219" s="6"/>
      <c r="AF219" s="6"/>
      <c r="AG219" s="6"/>
      <c r="AH219" s="6"/>
      <c r="AI219" s="6"/>
      <c r="AJ219" s="6"/>
      <c r="AK219" s="6"/>
      <c r="AL219" s="6"/>
      <c r="AM219" s="30"/>
      <c r="AN219" s="198"/>
      <c r="AO219" s="196"/>
      <c r="AP219" s="196"/>
      <c r="AQ219" s="196"/>
      <c r="AR219" s="196"/>
      <c r="AS219" s="196"/>
      <c r="AT219" s="196"/>
      <c r="AU219" s="196"/>
      <c r="AV219" s="196"/>
      <c r="AW219" s="196"/>
      <c r="AX219" s="198"/>
      <c r="AY219" s="164"/>
      <c r="AZ219" s="23"/>
      <c r="BA219" s="23"/>
      <c r="BB219" s="23"/>
      <c r="BC219" s="23"/>
      <c r="BD219" s="23"/>
      <c r="BE219" s="23"/>
      <c r="BF219" s="23"/>
      <c r="BG219" s="23"/>
      <c r="BH219" s="23"/>
      <c r="BI219" s="23"/>
      <c r="BJ219" s="23"/>
      <c r="BK219" s="23"/>
      <c r="BL219" s="23"/>
      <c r="BM219" s="23"/>
      <c r="BN219" s="23"/>
    </row>
    <row r="220" spans="1:66">
      <c r="A220" s="23"/>
      <c r="B220" s="100"/>
      <c r="C220" s="6"/>
      <c r="D220" s="6"/>
      <c r="E220" s="87"/>
      <c r="F220" s="93"/>
      <c r="G220" s="87"/>
      <c r="H220" s="194"/>
      <c r="I220" s="181"/>
      <c r="J220" s="6"/>
      <c r="K220" s="6"/>
      <c r="L220" s="175"/>
      <c r="M220" s="197"/>
      <c r="N220" s="273">
        <v>4.0369504125538613</v>
      </c>
      <c r="O220" s="196"/>
      <c r="P220" s="199"/>
      <c r="Q220" s="196"/>
      <c r="R220" s="196"/>
      <c r="S220" s="196"/>
      <c r="T220" s="196"/>
      <c r="U220" s="196"/>
      <c r="V220" s="196"/>
      <c r="W220" s="196"/>
      <c r="X220" s="196"/>
      <c r="Y220" s="196"/>
      <c r="Z220" s="196"/>
      <c r="AA220" s="196"/>
      <c r="AB220" s="196"/>
      <c r="AC220" s="196"/>
      <c r="AD220" s="181"/>
      <c r="AE220" s="6"/>
      <c r="AF220" s="6"/>
      <c r="AG220" s="6"/>
      <c r="AH220" s="6"/>
      <c r="AI220" s="6"/>
      <c r="AJ220" s="6"/>
      <c r="AK220" s="6"/>
      <c r="AL220" s="6"/>
      <c r="AM220" s="30"/>
      <c r="AN220" s="198"/>
      <c r="AO220" s="196"/>
      <c r="AP220" s="196"/>
      <c r="AQ220" s="196"/>
      <c r="AR220" s="196"/>
      <c r="AS220" s="196"/>
      <c r="AT220" s="196"/>
      <c r="AU220" s="196"/>
      <c r="AV220" s="196"/>
      <c r="AW220" s="196"/>
      <c r="AX220" s="198"/>
      <c r="AY220" s="164"/>
      <c r="AZ220" s="23"/>
      <c r="BA220" s="23"/>
      <c r="BB220" s="23"/>
      <c r="BC220" s="23"/>
      <c r="BD220" s="23"/>
      <c r="BE220" s="23"/>
      <c r="BF220" s="23"/>
      <c r="BG220" s="23"/>
      <c r="BH220" s="23"/>
      <c r="BI220" s="23"/>
      <c r="BJ220" s="23"/>
      <c r="BK220" s="23"/>
      <c r="BL220" s="23"/>
      <c r="BM220" s="23"/>
      <c r="BN220" s="23"/>
    </row>
    <row r="221" spans="1:66">
      <c r="A221" s="23"/>
      <c r="B221" s="100"/>
      <c r="C221" s="6"/>
      <c r="D221" s="6"/>
      <c r="E221" s="87"/>
      <c r="F221" s="93"/>
      <c r="G221" s="87"/>
      <c r="H221" s="194"/>
      <c r="I221" s="181"/>
      <c r="J221" s="6"/>
      <c r="K221" s="6"/>
      <c r="L221" s="175"/>
      <c r="M221" s="197"/>
      <c r="N221" s="273">
        <v>4.0369504125538613</v>
      </c>
      <c r="O221" s="196"/>
      <c r="P221" s="199"/>
      <c r="Q221" s="196"/>
      <c r="R221" s="196"/>
      <c r="S221" s="196"/>
      <c r="T221" s="196"/>
      <c r="U221" s="196"/>
      <c r="V221" s="196"/>
      <c r="W221" s="196"/>
      <c r="X221" s="196"/>
      <c r="Y221" s="196"/>
      <c r="Z221" s="196"/>
      <c r="AA221" s="196"/>
      <c r="AB221" s="196"/>
      <c r="AC221" s="196"/>
      <c r="AD221" s="181"/>
      <c r="AE221" s="6"/>
      <c r="AF221" s="6"/>
      <c r="AG221" s="6"/>
      <c r="AH221" s="6"/>
      <c r="AI221" s="6"/>
      <c r="AJ221" s="6"/>
      <c r="AK221" s="6"/>
      <c r="AL221" s="6"/>
      <c r="AM221" s="30"/>
      <c r="AN221" s="198"/>
      <c r="AO221" s="196"/>
      <c r="AP221" s="196"/>
      <c r="AQ221" s="196"/>
      <c r="AR221" s="196"/>
      <c r="AS221" s="196"/>
      <c r="AT221" s="196"/>
      <c r="AU221" s="196"/>
      <c r="AV221" s="196"/>
      <c r="AW221" s="196"/>
      <c r="AX221" s="198"/>
      <c r="AY221" s="164"/>
      <c r="AZ221" s="23"/>
      <c r="BA221" s="23"/>
      <c r="BB221" s="23"/>
      <c r="BC221" s="23"/>
      <c r="BD221" s="23"/>
      <c r="BE221" s="23"/>
      <c r="BF221" s="23"/>
      <c r="BG221" s="23"/>
      <c r="BH221" s="23"/>
      <c r="BI221" s="23"/>
      <c r="BJ221" s="23"/>
      <c r="BK221" s="23"/>
      <c r="BL221" s="23"/>
      <c r="BM221" s="23"/>
      <c r="BN221" s="23"/>
    </row>
    <row r="222" spans="1:66">
      <c r="A222" s="23"/>
      <c r="B222" s="100"/>
      <c r="C222" s="6"/>
      <c r="D222" s="6"/>
      <c r="E222" s="87"/>
      <c r="F222" s="93"/>
      <c r="G222" s="87"/>
      <c r="H222" s="194"/>
      <c r="I222" s="181"/>
      <c r="J222" s="6"/>
      <c r="K222" s="6"/>
      <c r="L222" s="175"/>
      <c r="M222" s="197"/>
      <c r="N222" s="273">
        <v>4.0369504125538613</v>
      </c>
      <c r="O222" s="196"/>
      <c r="P222" s="199"/>
      <c r="Q222" s="196"/>
      <c r="R222" s="196"/>
      <c r="S222" s="196"/>
      <c r="T222" s="196"/>
      <c r="U222" s="196"/>
      <c r="V222" s="196"/>
      <c r="W222" s="196"/>
      <c r="X222" s="196"/>
      <c r="Y222" s="196"/>
      <c r="Z222" s="196"/>
      <c r="AA222" s="196"/>
      <c r="AB222" s="196"/>
      <c r="AC222" s="196"/>
      <c r="AD222" s="181"/>
      <c r="AE222" s="6"/>
      <c r="AF222" s="6"/>
      <c r="AG222" s="6"/>
      <c r="AH222" s="6"/>
      <c r="AI222" s="6"/>
      <c r="AJ222" s="6"/>
      <c r="AK222" s="6"/>
      <c r="AL222" s="6"/>
      <c r="AM222" s="30"/>
      <c r="AN222" s="198"/>
      <c r="AO222" s="196"/>
      <c r="AP222" s="196"/>
      <c r="AQ222" s="196"/>
      <c r="AR222" s="196"/>
      <c r="AS222" s="196"/>
      <c r="AT222" s="196"/>
      <c r="AU222" s="196"/>
      <c r="AV222" s="196"/>
      <c r="AW222" s="196"/>
      <c r="AX222" s="198"/>
      <c r="AY222" s="164"/>
      <c r="AZ222" s="23"/>
      <c r="BA222" s="23"/>
      <c r="BB222" s="23"/>
      <c r="BC222" s="23"/>
      <c r="BD222" s="23"/>
      <c r="BE222" s="23"/>
      <c r="BF222" s="23"/>
      <c r="BG222" s="23"/>
      <c r="BH222" s="23"/>
      <c r="BI222" s="23"/>
      <c r="BJ222" s="23"/>
      <c r="BK222" s="23"/>
      <c r="BL222" s="23"/>
      <c r="BM222" s="23"/>
      <c r="BN222" s="23"/>
    </row>
    <row r="223" spans="1:66">
      <c r="A223" s="23"/>
      <c r="B223" s="100"/>
      <c r="C223" s="6"/>
      <c r="D223" s="6"/>
      <c r="E223" s="87"/>
      <c r="F223" s="93"/>
      <c r="G223" s="87"/>
      <c r="H223" s="194"/>
      <c r="I223" s="181"/>
      <c r="J223" s="6"/>
      <c r="K223" s="6"/>
      <c r="L223" s="175"/>
      <c r="M223" s="197"/>
      <c r="N223" s="273">
        <v>4.0369504125538613</v>
      </c>
      <c r="O223" s="196"/>
      <c r="P223" s="199"/>
      <c r="Q223" s="196"/>
      <c r="R223" s="196"/>
      <c r="S223" s="196"/>
      <c r="T223" s="196"/>
      <c r="U223" s="196"/>
      <c r="V223" s="196"/>
      <c r="W223" s="196"/>
      <c r="X223" s="196"/>
      <c r="Y223" s="196"/>
      <c r="Z223" s="196"/>
      <c r="AA223" s="196"/>
      <c r="AB223" s="196"/>
      <c r="AC223" s="196"/>
      <c r="AD223" s="181"/>
      <c r="AE223" s="6"/>
      <c r="AF223" s="6"/>
      <c r="AG223" s="6"/>
      <c r="AH223" s="6"/>
      <c r="AI223" s="6"/>
      <c r="AJ223" s="6"/>
      <c r="AK223" s="6"/>
      <c r="AL223" s="6"/>
      <c r="AM223" s="30"/>
      <c r="AN223" s="198"/>
      <c r="AO223" s="196"/>
      <c r="AP223" s="196"/>
      <c r="AQ223" s="196"/>
      <c r="AR223" s="196"/>
      <c r="AS223" s="196"/>
      <c r="AT223" s="196"/>
      <c r="AU223" s="196"/>
      <c r="AV223" s="196"/>
      <c r="AW223" s="196"/>
      <c r="AX223" s="198"/>
      <c r="AY223" s="164"/>
      <c r="AZ223" s="23"/>
      <c r="BA223" s="23"/>
      <c r="BB223" s="23"/>
      <c r="BC223" s="23"/>
      <c r="BD223" s="23"/>
      <c r="BE223" s="23"/>
      <c r="BF223" s="23"/>
      <c r="BG223" s="23"/>
      <c r="BH223" s="23"/>
      <c r="BI223" s="23"/>
      <c r="BJ223" s="23"/>
      <c r="BK223" s="23"/>
      <c r="BL223" s="23"/>
      <c r="BM223" s="23"/>
      <c r="BN223" s="23"/>
    </row>
    <row r="224" spans="1:66">
      <c r="A224" s="23"/>
      <c r="B224" s="100"/>
      <c r="C224" s="6"/>
      <c r="D224" s="6"/>
      <c r="E224" s="87"/>
      <c r="F224" s="93"/>
      <c r="G224" s="87"/>
      <c r="H224" s="194"/>
      <c r="I224" s="181"/>
      <c r="J224" s="6"/>
      <c r="K224" s="6"/>
      <c r="L224" s="175"/>
      <c r="M224" s="197"/>
      <c r="N224" s="273">
        <v>4.0369504125538613</v>
      </c>
      <c r="O224" s="196"/>
      <c r="P224" s="199"/>
      <c r="Q224" s="196"/>
      <c r="R224" s="196"/>
      <c r="S224" s="196"/>
      <c r="T224" s="196"/>
      <c r="U224" s="196"/>
      <c r="V224" s="196"/>
      <c r="W224" s="196"/>
      <c r="X224" s="196"/>
      <c r="Y224" s="196"/>
      <c r="Z224" s="196"/>
      <c r="AA224" s="196"/>
      <c r="AB224" s="196"/>
      <c r="AC224" s="196"/>
      <c r="AD224" s="181"/>
      <c r="AE224" s="6"/>
      <c r="AF224" s="6"/>
      <c r="AG224" s="6"/>
      <c r="AH224" s="6"/>
      <c r="AI224" s="6"/>
      <c r="AJ224" s="6"/>
      <c r="AK224" s="6"/>
      <c r="AL224" s="6"/>
      <c r="AM224" s="30"/>
      <c r="AN224" s="198"/>
      <c r="AO224" s="196"/>
      <c r="AP224" s="196"/>
      <c r="AQ224" s="196"/>
      <c r="AR224" s="196"/>
      <c r="AS224" s="196"/>
      <c r="AT224" s="196"/>
      <c r="AU224" s="196"/>
      <c r="AV224" s="196"/>
      <c r="AW224" s="196"/>
      <c r="AX224" s="198"/>
      <c r="AY224" s="164"/>
      <c r="AZ224" s="23"/>
      <c r="BA224" s="23"/>
      <c r="BB224" s="23"/>
      <c r="BC224" s="23"/>
      <c r="BD224" s="23"/>
      <c r="BE224" s="23"/>
      <c r="BF224" s="23"/>
      <c r="BG224" s="23"/>
      <c r="BH224" s="23"/>
      <c r="BI224" s="23"/>
      <c r="BJ224" s="23"/>
      <c r="BK224" s="23"/>
      <c r="BL224" s="23"/>
      <c r="BM224" s="23"/>
      <c r="BN224" s="23"/>
    </row>
    <row r="225" spans="1:66">
      <c r="A225" s="23"/>
      <c r="B225" s="100"/>
      <c r="C225" s="6"/>
      <c r="D225" s="6"/>
      <c r="E225" s="87"/>
      <c r="F225" s="93"/>
      <c r="G225" s="87"/>
      <c r="H225" s="194"/>
      <c r="I225" s="181"/>
      <c r="J225" s="6"/>
      <c r="K225" s="6"/>
      <c r="L225" s="175"/>
      <c r="M225" s="197"/>
      <c r="N225" s="273">
        <v>4.0369504125538613</v>
      </c>
      <c r="O225" s="196"/>
      <c r="P225" s="199"/>
      <c r="Q225" s="196"/>
      <c r="R225" s="196"/>
      <c r="S225" s="196"/>
      <c r="T225" s="196"/>
      <c r="U225" s="196"/>
      <c r="V225" s="196"/>
      <c r="W225" s="196"/>
      <c r="X225" s="196"/>
      <c r="Y225" s="196"/>
      <c r="Z225" s="196"/>
      <c r="AA225" s="196"/>
      <c r="AB225" s="196"/>
      <c r="AC225" s="196"/>
      <c r="AD225" s="181"/>
      <c r="AE225" s="6"/>
      <c r="AF225" s="6"/>
      <c r="AG225" s="6"/>
      <c r="AH225" s="6"/>
      <c r="AI225" s="6"/>
      <c r="AJ225" s="6"/>
      <c r="AK225" s="6"/>
      <c r="AL225" s="6"/>
      <c r="AM225" s="30"/>
      <c r="AN225" s="198"/>
      <c r="AO225" s="196"/>
      <c r="AP225" s="196"/>
      <c r="AQ225" s="196"/>
      <c r="AR225" s="196"/>
      <c r="AS225" s="196"/>
      <c r="AT225" s="196"/>
      <c r="AU225" s="196"/>
      <c r="AV225" s="196"/>
      <c r="AW225" s="196"/>
      <c r="AX225" s="198"/>
      <c r="AY225" s="164"/>
      <c r="AZ225" s="23"/>
      <c r="BA225" s="23"/>
      <c r="BB225" s="23"/>
      <c r="BC225" s="23"/>
      <c r="BD225" s="23"/>
      <c r="BE225" s="23"/>
      <c r="BF225" s="23"/>
      <c r="BG225" s="23"/>
      <c r="BH225" s="23"/>
      <c r="BI225" s="23"/>
      <c r="BJ225" s="23"/>
      <c r="BK225" s="23"/>
      <c r="BL225" s="23"/>
      <c r="BM225" s="23"/>
      <c r="BN225" s="23"/>
    </row>
    <row r="226" spans="1:66">
      <c r="A226" s="23"/>
      <c r="B226" s="100"/>
      <c r="C226" s="6"/>
      <c r="D226" s="6"/>
      <c r="E226" s="87"/>
      <c r="F226" s="93"/>
      <c r="G226" s="87"/>
      <c r="H226" s="194"/>
      <c r="I226" s="181"/>
      <c r="J226" s="6"/>
      <c r="K226" s="6"/>
      <c r="L226" s="175"/>
      <c r="M226" s="197"/>
      <c r="N226" s="273">
        <v>4.0369504125538613</v>
      </c>
      <c r="O226" s="196"/>
      <c r="P226" s="199"/>
      <c r="Q226" s="196"/>
      <c r="R226" s="196"/>
      <c r="S226" s="196"/>
      <c r="T226" s="196"/>
      <c r="U226" s="196"/>
      <c r="V226" s="196"/>
      <c r="W226" s="196"/>
      <c r="X226" s="196"/>
      <c r="Y226" s="196"/>
      <c r="Z226" s="196"/>
      <c r="AA226" s="196"/>
      <c r="AB226" s="196"/>
      <c r="AC226" s="196"/>
      <c r="AD226" s="181"/>
      <c r="AE226" s="6"/>
      <c r="AF226" s="6"/>
      <c r="AG226" s="6"/>
      <c r="AH226" s="6"/>
      <c r="AI226" s="6"/>
      <c r="AJ226" s="6"/>
      <c r="AK226" s="6"/>
      <c r="AL226" s="6"/>
      <c r="AM226" s="30"/>
      <c r="AN226" s="198"/>
      <c r="AO226" s="196"/>
      <c r="AP226" s="196"/>
      <c r="AQ226" s="196"/>
      <c r="AR226" s="196"/>
      <c r="AS226" s="196"/>
      <c r="AT226" s="196"/>
      <c r="AU226" s="196"/>
      <c r="AV226" s="196"/>
      <c r="AW226" s="196"/>
      <c r="AX226" s="198"/>
      <c r="AY226" s="164"/>
      <c r="AZ226" s="23"/>
      <c r="BA226" s="23"/>
      <c r="BB226" s="23"/>
      <c r="BC226" s="23"/>
      <c r="BD226" s="23"/>
      <c r="BE226" s="23"/>
      <c r="BF226" s="23"/>
      <c r="BG226" s="23"/>
      <c r="BH226" s="23"/>
      <c r="BI226" s="23"/>
      <c r="BJ226" s="23"/>
      <c r="BK226" s="23"/>
      <c r="BL226" s="23"/>
      <c r="BM226" s="23"/>
      <c r="BN226" s="23"/>
    </row>
    <row r="227" spans="1:66">
      <c r="A227" s="23"/>
      <c r="B227" s="100"/>
      <c r="C227" s="6"/>
      <c r="D227" s="6"/>
      <c r="E227" s="87"/>
      <c r="F227" s="93"/>
      <c r="G227" s="87"/>
      <c r="H227" s="194"/>
      <c r="I227" s="181"/>
      <c r="J227" s="6"/>
      <c r="K227" s="6"/>
      <c r="L227" s="175"/>
      <c r="M227" s="197"/>
      <c r="N227" s="273">
        <v>4.0369504125538613</v>
      </c>
      <c r="O227" s="196"/>
      <c r="P227" s="199"/>
      <c r="Q227" s="196"/>
      <c r="R227" s="196"/>
      <c r="S227" s="196"/>
      <c r="T227" s="196"/>
      <c r="U227" s="196"/>
      <c r="V227" s="196"/>
      <c r="W227" s="196"/>
      <c r="X227" s="196"/>
      <c r="Y227" s="196"/>
      <c r="Z227" s="196"/>
      <c r="AA227" s="196"/>
      <c r="AB227" s="196"/>
      <c r="AC227" s="196"/>
      <c r="AD227" s="181"/>
      <c r="AE227" s="6"/>
      <c r="AF227" s="6"/>
      <c r="AG227" s="6"/>
      <c r="AH227" s="6"/>
      <c r="AI227" s="6"/>
      <c r="AJ227" s="6"/>
      <c r="AK227" s="6"/>
      <c r="AL227" s="6"/>
      <c r="AM227" s="30"/>
      <c r="AN227" s="198"/>
      <c r="AO227" s="196"/>
      <c r="AP227" s="196"/>
      <c r="AQ227" s="196"/>
      <c r="AR227" s="196"/>
      <c r="AS227" s="196"/>
      <c r="AT227" s="196"/>
      <c r="AU227" s="196"/>
      <c r="AV227" s="196"/>
      <c r="AW227" s="196"/>
      <c r="AX227" s="198"/>
      <c r="AY227" s="164"/>
      <c r="AZ227" s="23"/>
      <c r="BA227" s="23"/>
      <c r="BB227" s="23"/>
      <c r="BC227" s="23"/>
      <c r="BD227" s="23"/>
      <c r="BE227" s="23"/>
      <c r="BF227" s="23"/>
      <c r="BG227" s="23"/>
      <c r="BH227" s="23"/>
      <c r="BI227" s="23"/>
      <c r="BJ227" s="23"/>
      <c r="BK227" s="23"/>
      <c r="BL227" s="23"/>
      <c r="BM227" s="23"/>
      <c r="BN227" s="23"/>
    </row>
    <row r="228" spans="1:66">
      <c r="A228" s="23"/>
      <c r="B228" s="100"/>
      <c r="C228" s="6"/>
      <c r="D228" s="6"/>
      <c r="E228" s="87"/>
      <c r="F228" s="93"/>
      <c r="G228" s="87"/>
      <c r="H228" s="194"/>
      <c r="I228" s="181"/>
      <c r="J228" s="6"/>
      <c r="K228" s="6"/>
      <c r="L228" s="175"/>
      <c r="M228" s="197"/>
      <c r="N228" s="273">
        <v>4.0369504125538613</v>
      </c>
      <c r="O228" s="196"/>
      <c r="P228" s="199"/>
      <c r="Q228" s="196"/>
      <c r="R228" s="196"/>
      <c r="S228" s="196"/>
      <c r="T228" s="196"/>
      <c r="U228" s="196"/>
      <c r="V228" s="196"/>
      <c r="W228" s="196"/>
      <c r="X228" s="196"/>
      <c r="Y228" s="196"/>
      <c r="Z228" s="196"/>
      <c r="AA228" s="196"/>
      <c r="AB228" s="196"/>
      <c r="AC228" s="196"/>
      <c r="AD228" s="181"/>
      <c r="AE228" s="6"/>
      <c r="AF228" s="6"/>
      <c r="AG228" s="6"/>
      <c r="AH228" s="6"/>
      <c r="AI228" s="6"/>
      <c r="AJ228" s="6"/>
      <c r="AK228" s="6"/>
      <c r="AL228" s="6"/>
      <c r="AM228" s="30"/>
      <c r="AN228" s="198"/>
      <c r="AO228" s="196"/>
      <c r="AP228" s="196"/>
      <c r="AQ228" s="196"/>
      <c r="AR228" s="196"/>
      <c r="AS228" s="196"/>
      <c r="AT228" s="196"/>
      <c r="AU228" s="196"/>
      <c r="AV228" s="196"/>
      <c r="AW228" s="196"/>
      <c r="AX228" s="198"/>
      <c r="AY228" s="164"/>
      <c r="AZ228" s="23"/>
      <c r="BA228" s="23"/>
      <c r="BB228" s="23"/>
      <c r="BC228" s="23"/>
      <c r="BD228" s="23"/>
      <c r="BE228" s="23"/>
      <c r="BF228" s="23"/>
      <c r="BG228" s="23"/>
      <c r="BH228" s="23"/>
      <c r="BI228" s="23"/>
      <c r="BJ228" s="23"/>
      <c r="BK228" s="23"/>
      <c r="BL228" s="23"/>
      <c r="BM228" s="23"/>
      <c r="BN228" s="23"/>
    </row>
    <row r="229" spans="1:66">
      <c r="A229" s="23"/>
      <c r="B229" s="100"/>
      <c r="C229" s="6"/>
      <c r="D229" s="6"/>
      <c r="E229" s="87"/>
      <c r="F229" s="93"/>
      <c r="G229" s="87"/>
      <c r="H229" s="194"/>
      <c r="I229" s="181"/>
      <c r="J229" s="6"/>
      <c r="K229" s="6"/>
      <c r="L229" s="175"/>
      <c r="M229" s="197"/>
      <c r="N229" s="273">
        <v>4.0369504125538613</v>
      </c>
      <c r="O229" s="196"/>
      <c r="P229" s="199"/>
      <c r="Q229" s="196"/>
      <c r="R229" s="196"/>
      <c r="S229" s="196"/>
      <c r="T229" s="196"/>
      <c r="U229" s="196"/>
      <c r="V229" s="196"/>
      <c r="W229" s="196"/>
      <c r="X229" s="196"/>
      <c r="Y229" s="196"/>
      <c r="Z229" s="196"/>
      <c r="AA229" s="196"/>
      <c r="AB229" s="196"/>
      <c r="AC229" s="196"/>
      <c r="AD229" s="181"/>
      <c r="AE229" s="6"/>
      <c r="AF229" s="6"/>
      <c r="AG229" s="6"/>
      <c r="AH229" s="6"/>
      <c r="AI229" s="6"/>
      <c r="AJ229" s="6"/>
      <c r="AK229" s="6"/>
      <c r="AL229" s="6"/>
      <c r="AM229" s="30"/>
      <c r="AN229" s="198"/>
      <c r="AO229" s="196"/>
      <c r="AP229" s="196"/>
      <c r="AQ229" s="196"/>
      <c r="AR229" s="196"/>
      <c r="AS229" s="196"/>
      <c r="AT229" s="196"/>
      <c r="AU229" s="196"/>
      <c r="AV229" s="196"/>
      <c r="AW229" s="196"/>
      <c r="AX229" s="198"/>
      <c r="AY229" s="164"/>
      <c r="AZ229" s="23"/>
      <c r="BA229" s="23"/>
      <c r="BB229" s="23"/>
      <c r="BC229" s="23"/>
      <c r="BD229" s="23"/>
      <c r="BE229" s="23"/>
      <c r="BF229" s="23"/>
      <c r="BG229" s="23"/>
      <c r="BH229" s="23"/>
      <c r="BI229" s="23"/>
      <c r="BJ229" s="23"/>
      <c r="BK229" s="23"/>
      <c r="BL229" s="23"/>
      <c r="BM229" s="23"/>
      <c r="BN229" s="23"/>
    </row>
    <row r="230" spans="1:66">
      <c r="A230" s="23"/>
      <c r="B230" s="100"/>
      <c r="C230" s="6"/>
      <c r="D230" s="6"/>
      <c r="E230" s="87"/>
      <c r="F230" s="93"/>
      <c r="G230" s="87"/>
      <c r="H230" s="194"/>
      <c r="I230" s="181"/>
      <c r="J230" s="6"/>
      <c r="K230" s="6"/>
      <c r="L230" s="175"/>
      <c r="M230" s="197"/>
      <c r="N230" s="273">
        <v>4.0369504125538613</v>
      </c>
      <c r="O230" s="196"/>
      <c r="P230" s="199"/>
      <c r="Q230" s="196"/>
      <c r="R230" s="196"/>
      <c r="S230" s="196"/>
      <c r="T230" s="196"/>
      <c r="U230" s="196"/>
      <c r="V230" s="196"/>
      <c r="W230" s="196"/>
      <c r="X230" s="196"/>
      <c r="Y230" s="196"/>
      <c r="Z230" s="196"/>
      <c r="AA230" s="196"/>
      <c r="AB230" s="196"/>
      <c r="AC230" s="196"/>
      <c r="AD230" s="181"/>
      <c r="AE230" s="6"/>
      <c r="AF230" s="6"/>
      <c r="AG230" s="6"/>
      <c r="AH230" s="6"/>
      <c r="AI230" s="6"/>
      <c r="AJ230" s="6"/>
      <c r="AK230" s="6"/>
      <c r="AL230" s="6"/>
      <c r="AM230" s="30"/>
      <c r="AN230" s="198"/>
      <c r="AO230" s="196"/>
      <c r="AP230" s="196"/>
      <c r="AQ230" s="196"/>
      <c r="AR230" s="196"/>
      <c r="AS230" s="196"/>
      <c r="AT230" s="196"/>
      <c r="AU230" s="196"/>
      <c r="AV230" s="196"/>
      <c r="AW230" s="196"/>
      <c r="AX230" s="198"/>
      <c r="AY230" s="164"/>
      <c r="AZ230" s="23"/>
      <c r="BA230" s="23"/>
      <c r="BB230" s="23"/>
      <c r="BC230" s="23"/>
      <c r="BD230" s="23"/>
      <c r="BE230" s="23"/>
      <c r="BF230" s="23"/>
      <c r="BG230" s="23"/>
      <c r="BH230" s="23"/>
      <c r="BI230" s="23"/>
      <c r="BJ230" s="23"/>
      <c r="BK230" s="23"/>
      <c r="BL230" s="23"/>
      <c r="BM230" s="23"/>
      <c r="BN230" s="23"/>
    </row>
    <row r="231" spans="1:66">
      <c r="A231" s="23"/>
      <c r="B231" s="100"/>
      <c r="C231" s="6"/>
      <c r="D231" s="6"/>
      <c r="E231" s="87"/>
      <c r="F231" s="93"/>
      <c r="G231" s="87"/>
      <c r="H231" s="194"/>
      <c r="I231" s="181"/>
      <c r="J231" s="6"/>
      <c r="K231" s="6"/>
      <c r="L231" s="175"/>
      <c r="M231" s="197"/>
      <c r="N231" s="273">
        <v>4.0369504125538613</v>
      </c>
      <c r="O231" s="196"/>
      <c r="P231" s="199"/>
      <c r="Q231" s="196"/>
      <c r="R231" s="196"/>
      <c r="S231" s="196"/>
      <c r="T231" s="196"/>
      <c r="U231" s="196"/>
      <c r="V231" s="196"/>
      <c r="W231" s="196"/>
      <c r="X231" s="196"/>
      <c r="Y231" s="196"/>
      <c r="Z231" s="196"/>
      <c r="AA231" s="196"/>
      <c r="AB231" s="196"/>
      <c r="AC231" s="196"/>
      <c r="AD231" s="181"/>
      <c r="AE231" s="6"/>
      <c r="AF231" s="6"/>
      <c r="AG231" s="6"/>
      <c r="AH231" s="6"/>
      <c r="AI231" s="6"/>
      <c r="AJ231" s="6"/>
      <c r="AK231" s="6"/>
      <c r="AL231" s="6"/>
      <c r="AM231" s="30"/>
      <c r="AN231" s="198"/>
      <c r="AO231" s="196"/>
      <c r="AP231" s="196"/>
      <c r="AQ231" s="196"/>
      <c r="AR231" s="196"/>
      <c r="AS231" s="196"/>
      <c r="AT231" s="196"/>
      <c r="AU231" s="196"/>
      <c r="AV231" s="196"/>
      <c r="AW231" s="196"/>
      <c r="AX231" s="198"/>
      <c r="AY231" s="164"/>
      <c r="AZ231" s="23"/>
      <c r="BA231" s="23"/>
      <c r="BB231" s="23"/>
      <c r="BC231" s="23"/>
      <c r="BD231" s="23"/>
      <c r="BE231" s="23"/>
      <c r="BF231" s="23"/>
      <c r="BG231" s="23"/>
      <c r="BH231" s="23"/>
      <c r="BI231" s="23"/>
      <c r="BJ231" s="23"/>
      <c r="BK231" s="23"/>
      <c r="BL231" s="23"/>
      <c r="BM231" s="23"/>
      <c r="BN231" s="23"/>
    </row>
    <row r="232" spans="1:66">
      <c r="A232" s="23"/>
      <c r="B232" s="100"/>
      <c r="C232" s="6"/>
      <c r="D232" s="6"/>
      <c r="E232" s="87"/>
      <c r="F232" s="93"/>
      <c r="G232" s="87"/>
      <c r="H232" s="194"/>
      <c r="I232" s="181"/>
      <c r="J232" s="6"/>
      <c r="K232" s="6"/>
      <c r="L232" s="175"/>
      <c r="M232" s="197"/>
      <c r="N232" s="273">
        <v>4.0369504125538613</v>
      </c>
      <c r="O232" s="196"/>
      <c r="P232" s="199"/>
      <c r="Q232" s="196"/>
      <c r="R232" s="196"/>
      <c r="S232" s="196"/>
      <c r="T232" s="196"/>
      <c r="U232" s="196"/>
      <c r="V232" s="196"/>
      <c r="W232" s="196"/>
      <c r="X232" s="196"/>
      <c r="Y232" s="196"/>
      <c r="Z232" s="196"/>
      <c r="AA232" s="196"/>
      <c r="AB232" s="196"/>
      <c r="AC232" s="196"/>
      <c r="AD232" s="181"/>
      <c r="AE232" s="6"/>
      <c r="AF232" s="6"/>
      <c r="AG232" s="6"/>
      <c r="AH232" s="6"/>
      <c r="AI232" s="6"/>
      <c r="AJ232" s="6"/>
      <c r="AK232" s="6"/>
      <c r="AL232" s="6"/>
      <c r="AM232" s="30"/>
      <c r="AN232" s="198"/>
      <c r="AO232" s="196"/>
      <c r="AP232" s="196"/>
      <c r="AQ232" s="196"/>
      <c r="AR232" s="196"/>
      <c r="AS232" s="196"/>
      <c r="AT232" s="196"/>
      <c r="AU232" s="196"/>
      <c r="AV232" s="196"/>
      <c r="AW232" s="196"/>
      <c r="AX232" s="198"/>
      <c r="AY232" s="164"/>
      <c r="AZ232" s="23"/>
      <c r="BA232" s="23"/>
      <c r="BB232" s="23"/>
      <c r="BC232" s="23"/>
      <c r="BD232" s="23"/>
      <c r="BE232" s="23"/>
      <c r="BF232" s="23"/>
      <c r="BG232" s="23"/>
      <c r="BH232" s="23"/>
      <c r="BI232" s="23"/>
      <c r="BJ232" s="23"/>
      <c r="BK232" s="23"/>
      <c r="BL232" s="23"/>
      <c r="BM232" s="23"/>
      <c r="BN232" s="23"/>
    </row>
    <row r="233" spans="1:66">
      <c r="A233" s="23"/>
      <c r="B233" s="100"/>
      <c r="C233" s="6"/>
      <c r="D233" s="6"/>
      <c r="E233" s="87"/>
      <c r="F233" s="93"/>
      <c r="G233" s="87"/>
      <c r="H233" s="194"/>
      <c r="I233" s="181"/>
      <c r="J233" s="6"/>
      <c r="K233" s="6"/>
      <c r="L233" s="175"/>
      <c r="M233" s="197"/>
      <c r="N233" s="273">
        <v>4.0369504125538613</v>
      </c>
      <c r="O233" s="196"/>
      <c r="P233" s="199"/>
      <c r="Q233" s="196"/>
      <c r="R233" s="196"/>
      <c r="S233" s="196"/>
      <c r="T233" s="196"/>
      <c r="U233" s="196"/>
      <c r="V233" s="196"/>
      <c r="W233" s="196"/>
      <c r="X233" s="196"/>
      <c r="Y233" s="196"/>
      <c r="Z233" s="196"/>
      <c r="AA233" s="196"/>
      <c r="AB233" s="196"/>
      <c r="AC233" s="196"/>
      <c r="AD233" s="181"/>
      <c r="AE233" s="6"/>
      <c r="AF233" s="6"/>
      <c r="AG233" s="6"/>
      <c r="AH233" s="6"/>
      <c r="AI233" s="6"/>
      <c r="AJ233" s="6"/>
      <c r="AK233" s="6"/>
      <c r="AL233" s="6"/>
      <c r="AM233" s="30"/>
      <c r="AN233" s="198"/>
      <c r="AO233" s="196"/>
      <c r="AP233" s="196"/>
      <c r="AQ233" s="196"/>
      <c r="AR233" s="196"/>
      <c r="AS233" s="196"/>
      <c r="AT233" s="196"/>
      <c r="AU233" s="196"/>
      <c r="AV233" s="196"/>
      <c r="AW233" s="196"/>
      <c r="AX233" s="198"/>
      <c r="AY233" s="164"/>
      <c r="AZ233" s="23"/>
      <c r="BA233" s="23"/>
      <c r="BB233" s="23"/>
      <c r="BC233" s="23"/>
      <c r="BD233" s="23"/>
      <c r="BE233" s="23"/>
      <c r="BF233" s="23"/>
      <c r="BG233" s="23"/>
      <c r="BH233" s="23"/>
      <c r="BI233" s="23"/>
      <c r="BJ233" s="23"/>
      <c r="BK233" s="23"/>
      <c r="BL233" s="23"/>
      <c r="BM233" s="23"/>
      <c r="BN233" s="23"/>
    </row>
    <row r="234" spans="1:66">
      <c r="A234" s="23"/>
      <c r="B234" s="100"/>
      <c r="C234" s="6"/>
      <c r="D234" s="6"/>
      <c r="E234" s="87"/>
      <c r="F234" s="93"/>
      <c r="G234" s="87"/>
      <c r="H234" s="194"/>
      <c r="I234" s="181"/>
      <c r="J234" s="6"/>
      <c r="K234" s="6"/>
      <c r="L234" s="175"/>
      <c r="M234" s="197"/>
      <c r="N234" s="273">
        <v>4.0369504125538613</v>
      </c>
      <c r="O234" s="196"/>
      <c r="P234" s="199"/>
      <c r="Q234" s="196"/>
      <c r="R234" s="196"/>
      <c r="S234" s="196"/>
      <c r="T234" s="196"/>
      <c r="U234" s="196"/>
      <c r="V234" s="196"/>
      <c r="W234" s="196"/>
      <c r="X234" s="196"/>
      <c r="Y234" s="196"/>
      <c r="Z234" s="196"/>
      <c r="AA234" s="196"/>
      <c r="AB234" s="196"/>
      <c r="AC234" s="196"/>
      <c r="AD234" s="181"/>
      <c r="AE234" s="6"/>
      <c r="AF234" s="6"/>
      <c r="AG234" s="6"/>
      <c r="AH234" s="6"/>
      <c r="AI234" s="6"/>
      <c r="AJ234" s="6"/>
      <c r="AK234" s="6"/>
      <c r="AL234" s="6"/>
      <c r="AM234" s="30"/>
      <c r="AN234" s="198"/>
      <c r="AO234" s="196"/>
      <c r="AP234" s="196"/>
      <c r="AQ234" s="196"/>
      <c r="AR234" s="196"/>
      <c r="AS234" s="196"/>
      <c r="AT234" s="196"/>
      <c r="AU234" s="196"/>
      <c r="AV234" s="196"/>
      <c r="AW234" s="196"/>
      <c r="AX234" s="198"/>
      <c r="AY234" s="164"/>
      <c r="AZ234" s="23"/>
      <c r="BA234" s="23"/>
      <c r="BB234" s="23"/>
      <c r="BC234" s="23"/>
      <c r="BD234" s="23"/>
      <c r="BE234" s="23"/>
      <c r="BF234" s="23"/>
      <c r="BG234" s="23"/>
      <c r="BH234" s="23"/>
      <c r="BI234" s="23"/>
      <c r="BJ234" s="23"/>
      <c r="BK234" s="23"/>
      <c r="BL234" s="23"/>
      <c r="BM234" s="23"/>
      <c r="BN234" s="23"/>
    </row>
    <row r="235" spans="1:66">
      <c r="A235" s="23"/>
      <c r="B235" s="100"/>
      <c r="C235" s="6"/>
      <c r="D235" s="6"/>
      <c r="E235" s="87"/>
      <c r="F235" s="93"/>
      <c r="G235" s="87"/>
      <c r="H235" s="194"/>
      <c r="I235" s="181"/>
      <c r="J235" s="6"/>
      <c r="K235" s="6"/>
      <c r="L235" s="175"/>
      <c r="M235" s="197"/>
      <c r="N235" s="273">
        <v>4.0369504125538613</v>
      </c>
      <c r="O235" s="196"/>
      <c r="P235" s="199"/>
      <c r="Q235" s="196"/>
      <c r="R235" s="196"/>
      <c r="S235" s="196"/>
      <c r="T235" s="196"/>
      <c r="U235" s="196"/>
      <c r="V235" s="196"/>
      <c r="W235" s="196"/>
      <c r="X235" s="196"/>
      <c r="Y235" s="196"/>
      <c r="Z235" s="196"/>
      <c r="AA235" s="196"/>
      <c r="AB235" s="196"/>
      <c r="AC235" s="196"/>
      <c r="AD235" s="181"/>
      <c r="AE235" s="6"/>
      <c r="AF235" s="6"/>
      <c r="AG235" s="6"/>
      <c r="AH235" s="6"/>
      <c r="AI235" s="6"/>
      <c r="AJ235" s="6"/>
      <c r="AK235" s="6"/>
      <c r="AL235" s="6"/>
      <c r="AM235" s="30"/>
      <c r="AN235" s="198"/>
      <c r="AO235" s="196"/>
      <c r="AP235" s="196"/>
      <c r="AQ235" s="196"/>
      <c r="AR235" s="196"/>
      <c r="AS235" s="196"/>
      <c r="AT235" s="196"/>
      <c r="AU235" s="196"/>
      <c r="AV235" s="196"/>
      <c r="AW235" s="196"/>
      <c r="AX235" s="198"/>
      <c r="AY235" s="164"/>
      <c r="AZ235" s="23"/>
      <c r="BA235" s="23"/>
      <c r="BB235" s="23"/>
      <c r="BC235" s="23"/>
      <c r="BD235" s="23"/>
      <c r="BE235" s="23"/>
      <c r="BF235" s="23"/>
      <c r="BG235" s="23"/>
      <c r="BH235" s="23"/>
      <c r="BI235" s="23"/>
      <c r="BJ235" s="23"/>
      <c r="BK235" s="23"/>
      <c r="BL235" s="23"/>
      <c r="BM235" s="23"/>
      <c r="BN235" s="23"/>
    </row>
    <row r="236" spans="1:66">
      <c r="A236" s="23"/>
      <c r="B236" s="100"/>
      <c r="C236" s="6"/>
      <c r="D236" s="6"/>
      <c r="E236" s="87"/>
      <c r="F236" s="93"/>
      <c r="G236" s="87"/>
      <c r="H236" s="194"/>
      <c r="I236" s="181"/>
      <c r="J236" s="6"/>
      <c r="K236" s="6"/>
      <c r="L236" s="175"/>
      <c r="M236" s="197"/>
      <c r="N236" s="273">
        <v>4.0369504125538613</v>
      </c>
      <c r="O236" s="196"/>
      <c r="P236" s="199"/>
      <c r="Q236" s="196"/>
      <c r="R236" s="196"/>
      <c r="S236" s="196"/>
      <c r="T236" s="196"/>
      <c r="U236" s="196"/>
      <c r="V236" s="196"/>
      <c r="W236" s="196"/>
      <c r="X236" s="196"/>
      <c r="Y236" s="196"/>
      <c r="Z236" s="196"/>
      <c r="AA236" s="196"/>
      <c r="AB236" s="196"/>
      <c r="AC236" s="196"/>
      <c r="AD236" s="181"/>
      <c r="AE236" s="6"/>
      <c r="AF236" s="6"/>
      <c r="AG236" s="6"/>
      <c r="AH236" s="6"/>
      <c r="AI236" s="6"/>
      <c r="AJ236" s="6"/>
      <c r="AK236" s="6"/>
      <c r="AL236" s="6"/>
      <c r="AM236" s="30"/>
      <c r="AN236" s="198"/>
      <c r="AO236" s="196"/>
      <c r="AP236" s="196"/>
      <c r="AQ236" s="196"/>
      <c r="AR236" s="196"/>
      <c r="AS236" s="196"/>
      <c r="AT236" s="196"/>
      <c r="AU236" s="196"/>
      <c r="AV236" s="196"/>
      <c r="AW236" s="196"/>
      <c r="AX236" s="198"/>
      <c r="AY236" s="164"/>
      <c r="AZ236" s="23"/>
      <c r="BA236" s="23"/>
      <c r="BB236" s="23"/>
      <c r="BC236" s="23"/>
      <c r="BD236" s="23"/>
      <c r="BE236" s="23"/>
      <c r="BF236" s="23"/>
      <c r="BG236" s="23"/>
      <c r="BH236" s="23"/>
      <c r="BI236" s="23"/>
      <c r="BJ236" s="23"/>
      <c r="BK236" s="23"/>
      <c r="BL236" s="23"/>
      <c r="BM236" s="23"/>
      <c r="BN236" s="23"/>
    </row>
    <row r="237" spans="1:66">
      <c r="A237" s="23"/>
      <c r="B237" s="100"/>
      <c r="C237" s="6"/>
      <c r="D237" s="6"/>
      <c r="E237" s="87"/>
      <c r="F237" s="93"/>
      <c r="G237" s="87"/>
      <c r="H237" s="194"/>
      <c r="I237" s="181"/>
      <c r="J237" s="6"/>
      <c r="K237" s="6"/>
      <c r="L237" s="175"/>
      <c r="M237" s="197"/>
      <c r="N237" s="273">
        <v>4.0369504125538613</v>
      </c>
      <c r="O237" s="196"/>
      <c r="P237" s="199"/>
      <c r="Q237" s="196"/>
      <c r="R237" s="196"/>
      <c r="S237" s="196"/>
      <c r="T237" s="196"/>
      <c r="U237" s="196"/>
      <c r="V237" s="196"/>
      <c r="W237" s="196"/>
      <c r="X237" s="196"/>
      <c r="Y237" s="196"/>
      <c r="Z237" s="196"/>
      <c r="AA237" s="196"/>
      <c r="AB237" s="196"/>
      <c r="AC237" s="196"/>
      <c r="AD237" s="181"/>
      <c r="AE237" s="6"/>
      <c r="AF237" s="6"/>
      <c r="AG237" s="6"/>
      <c r="AH237" s="6"/>
      <c r="AI237" s="6"/>
      <c r="AJ237" s="6"/>
      <c r="AK237" s="6"/>
      <c r="AL237" s="6"/>
      <c r="AM237" s="30"/>
      <c r="AN237" s="198"/>
      <c r="AO237" s="196"/>
      <c r="AP237" s="196"/>
      <c r="AQ237" s="196"/>
      <c r="AR237" s="196"/>
      <c r="AS237" s="196"/>
      <c r="AT237" s="196"/>
      <c r="AU237" s="196"/>
      <c r="AV237" s="196"/>
      <c r="AW237" s="196"/>
      <c r="AX237" s="198"/>
      <c r="AY237" s="164"/>
      <c r="AZ237" s="23"/>
      <c r="BA237" s="23"/>
      <c r="BB237" s="23"/>
      <c r="BC237" s="23"/>
      <c r="BD237" s="23"/>
      <c r="BE237" s="23"/>
      <c r="BF237" s="23"/>
      <c r="BG237" s="23"/>
      <c r="BH237" s="23"/>
      <c r="BI237" s="23"/>
      <c r="BJ237" s="23"/>
      <c r="BK237" s="23"/>
      <c r="BL237" s="23"/>
      <c r="BM237" s="23"/>
      <c r="BN237" s="23"/>
    </row>
    <row r="238" spans="1:66">
      <c r="A238" s="23"/>
      <c r="B238" s="100"/>
      <c r="C238" s="6"/>
      <c r="D238" s="6"/>
      <c r="E238" s="87"/>
      <c r="F238" s="93"/>
      <c r="G238" s="87"/>
      <c r="H238" s="194"/>
      <c r="I238" s="181"/>
      <c r="J238" s="6"/>
      <c r="K238" s="6"/>
      <c r="L238" s="175"/>
      <c r="M238" s="197"/>
      <c r="N238" s="273">
        <v>4.0369504125538613</v>
      </c>
      <c r="O238" s="196"/>
      <c r="P238" s="199"/>
      <c r="Q238" s="196"/>
      <c r="R238" s="196"/>
      <c r="S238" s="196"/>
      <c r="T238" s="196"/>
      <c r="U238" s="196"/>
      <c r="V238" s="196"/>
      <c r="W238" s="196"/>
      <c r="X238" s="196"/>
      <c r="Y238" s="196"/>
      <c r="Z238" s="196"/>
      <c r="AA238" s="196"/>
      <c r="AB238" s="196"/>
      <c r="AC238" s="196"/>
      <c r="AD238" s="181"/>
      <c r="AE238" s="6"/>
      <c r="AF238" s="6"/>
      <c r="AG238" s="6"/>
      <c r="AH238" s="6"/>
      <c r="AI238" s="6"/>
      <c r="AJ238" s="6"/>
      <c r="AK238" s="6"/>
      <c r="AL238" s="6"/>
      <c r="AM238" s="30"/>
      <c r="AN238" s="198"/>
      <c r="AO238" s="196"/>
      <c r="AP238" s="196"/>
      <c r="AQ238" s="196"/>
      <c r="AR238" s="196"/>
      <c r="AS238" s="196"/>
      <c r="AT238" s="196"/>
      <c r="AU238" s="196"/>
      <c r="AV238" s="196"/>
      <c r="AW238" s="196"/>
      <c r="AX238" s="198"/>
      <c r="AY238" s="164"/>
      <c r="AZ238" s="23"/>
      <c r="BA238" s="23"/>
      <c r="BB238" s="23"/>
      <c r="BC238" s="23"/>
      <c r="BD238" s="23"/>
      <c r="BE238" s="23"/>
      <c r="BF238" s="23"/>
      <c r="BG238" s="23"/>
      <c r="BH238" s="23"/>
      <c r="BI238" s="23"/>
      <c r="BJ238" s="23"/>
      <c r="BK238" s="23"/>
      <c r="BL238" s="23"/>
      <c r="BM238" s="23"/>
      <c r="BN238" s="23"/>
    </row>
    <row r="239" spans="1:66">
      <c r="A239" s="23"/>
      <c r="B239" s="100"/>
      <c r="C239" s="6"/>
      <c r="D239" s="6"/>
      <c r="E239" s="87"/>
      <c r="F239" s="93"/>
      <c r="G239" s="87"/>
      <c r="H239" s="194"/>
      <c r="I239" s="181"/>
      <c r="J239" s="6"/>
      <c r="K239" s="6"/>
      <c r="L239" s="175"/>
      <c r="M239" s="197"/>
      <c r="N239" s="273">
        <v>4.0369504125538613</v>
      </c>
      <c r="O239" s="196"/>
      <c r="P239" s="199"/>
      <c r="Q239" s="196"/>
      <c r="R239" s="196"/>
      <c r="S239" s="196"/>
      <c r="T239" s="196"/>
      <c r="U239" s="196"/>
      <c r="V239" s="196"/>
      <c r="W239" s="196"/>
      <c r="X239" s="196"/>
      <c r="Y239" s="196"/>
      <c r="Z239" s="196"/>
      <c r="AA239" s="196"/>
      <c r="AB239" s="196"/>
      <c r="AC239" s="196"/>
      <c r="AD239" s="181"/>
      <c r="AE239" s="6"/>
      <c r="AF239" s="6"/>
      <c r="AG239" s="6"/>
      <c r="AH239" s="6"/>
      <c r="AI239" s="6"/>
      <c r="AJ239" s="6"/>
      <c r="AK239" s="6"/>
      <c r="AL239" s="6"/>
      <c r="AM239" s="30"/>
      <c r="AN239" s="198"/>
      <c r="AO239" s="196"/>
      <c r="AP239" s="196"/>
      <c r="AQ239" s="196"/>
      <c r="AR239" s="196"/>
      <c r="AS239" s="196"/>
      <c r="AT239" s="196"/>
      <c r="AU239" s="196"/>
      <c r="AV239" s="196"/>
      <c r="AW239" s="196"/>
      <c r="AX239" s="198"/>
      <c r="AY239" s="164"/>
      <c r="AZ239" s="23"/>
      <c r="BA239" s="23"/>
      <c r="BB239" s="23"/>
      <c r="BC239" s="23"/>
      <c r="BD239" s="23"/>
      <c r="BE239" s="23"/>
      <c r="BF239" s="23"/>
      <c r="BG239" s="23"/>
      <c r="BH239" s="23"/>
      <c r="BI239" s="23"/>
      <c r="BJ239" s="23"/>
      <c r="BK239" s="23"/>
      <c r="BL239" s="23"/>
      <c r="BM239" s="23"/>
      <c r="BN239" s="23"/>
    </row>
    <row r="240" spans="1:66">
      <c r="A240" s="23"/>
      <c r="B240" s="100"/>
      <c r="C240" s="6"/>
      <c r="D240" s="6"/>
      <c r="E240" s="87"/>
      <c r="F240" s="93"/>
      <c r="G240" s="87"/>
      <c r="H240" s="194"/>
      <c r="I240" s="181"/>
      <c r="J240" s="6"/>
      <c r="K240" s="6"/>
      <c r="L240" s="175"/>
      <c r="M240" s="197"/>
      <c r="N240" s="273">
        <v>4.0369504125538613</v>
      </c>
      <c r="O240" s="196"/>
      <c r="P240" s="199"/>
      <c r="Q240" s="196"/>
      <c r="R240" s="196"/>
      <c r="S240" s="196"/>
      <c r="T240" s="196"/>
      <c r="U240" s="196"/>
      <c r="V240" s="196"/>
      <c r="W240" s="196"/>
      <c r="X240" s="196"/>
      <c r="Y240" s="196"/>
      <c r="Z240" s="196"/>
      <c r="AA240" s="196"/>
      <c r="AB240" s="196"/>
      <c r="AC240" s="196"/>
      <c r="AD240" s="181"/>
      <c r="AE240" s="6"/>
      <c r="AF240" s="6"/>
      <c r="AG240" s="6"/>
      <c r="AH240" s="6"/>
      <c r="AI240" s="6"/>
      <c r="AJ240" s="6"/>
      <c r="AK240" s="6"/>
      <c r="AL240" s="6"/>
      <c r="AM240" s="30"/>
      <c r="AN240" s="198"/>
      <c r="AO240" s="196"/>
      <c r="AP240" s="196"/>
      <c r="AQ240" s="196"/>
      <c r="AR240" s="196"/>
      <c r="AS240" s="196"/>
      <c r="AT240" s="196"/>
      <c r="AU240" s="196"/>
      <c r="AV240" s="196"/>
      <c r="AW240" s="196"/>
      <c r="AX240" s="198"/>
      <c r="AY240" s="164"/>
      <c r="AZ240" s="23"/>
      <c r="BA240" s="23"/>
      <c r="BB240" s="23"/>
      <c r="BC240" s="23"/>
      <c r="BD240" s="23"/>
      <c r="BE240" s="23"/>
      <c r="BF240" s="23"/>
      <c r="BG240" s="23"/>
      <c r="BH240" s="23"/>
      <c r="BI240" s="23"/>
      <c r="BJ240" s="23"/>
      <c r="BK240" s="23"/>
      <c r="BL240" s="23"/>
      <c r="BM240" s="23"/>
      <c r="BN240" s="23"/>
    </row>
    <row r="241" spans="1:66">
      <c r="A241" s="23"/>
      <c r="B241" s="100"/>
      <c r="C241" s="6"/>
      <c r="D241" s="6"/>
      <c r="E241" s="87"/>
      <c r="F241" s="93"/>
      <c r="G241" s="87"/>
      <c r="H241" s="194"/>
      <c r="I241" s="181"/>
      <c r="J241" s="6"/>
      <c r="K241" s="6"/>
      <c r="L241" s="175"/>
      <c r="M241" s="197"/>
      <c r="N241" s="273">
        <v>4.0369504125538613</v>
      </c>
      <c r="O241" s="196"/>
      <c r="P241" s="199"/>
      <c r="Q241" s="196"/>
      <c r="R241" s="196"/>
      <c r="S241" s="196"/>
      <c r="T241" s="196"/>
      <c r="U241" s="196"/>
      <c r="V241" s="196"/>
      <c r="W241" s="196"/>
      <c r="X241" s="196"/>
      <c r="Y241" s="196"/>
      <c r="Z241" s="196"/>
      <c r="AA241" s="196"/>
      <c r="AB241" s="196"/>
      <c r="AC241" s="196"/>
      <c r="AD241" s="181"/>
      <c r="AE241" s="6"/>
      <c r="AF241" s="6"/>
      <c r="AG241" s="6"/>
      <c r="AH241" s="6"/>
      <c r="AI241" s="6"/>
      <c r="AJ241" s="6"/>
      <c r="AK241" s="6"/>
      <c r="AL241" s="6"/>
      <c r="AM241" s="30"/>
      <c r="AN241" s="198"/>
      <c r="AO241" s="196"/>
      <c r="AP241" s="196"/>
      <c r="AQ241" s="196"/>
      <c r="AR241" s="196"/>
      <c r="AS241" s="196"/>
      <c r="AT241" s="196"/>
      <c r="AU241" s="196"/>
      <c r="AV241" s="196"/>
      <c r="AW241" s="196"/>
      <c r="AX241" s="198"/>
      <c r="AY241" s="164"/>
      <c r="AZ241" s="23"/>
      <c r="BA241" s="23"/>
      <c r="BB241" s="23"/>
      <c r="BC241" s="23"/>
      <c r="BD241" s="23"/>
      <c r="BE241" s="23"/>
      <c r="BF241" s="23"/>
      <c r="BG241" s="23"/>
      <c r="BH241" s="23"/>
      <c r="BI241" s="23"/>
      <c r="BJ241" s="23"/>
      <c r="BK241" s="23"/>
      <c r="BL241" s="23"/>
      <c r="BM241" s="23"/>
      <c r="BN241" s="23"/>
    </row>
    <row r="242" spans="1:66">
      <c r="A242" s="23"/>
      <c r="B242" s="100"/>
      <c r="C242" s="6"/>
      <c r="D242" s="6"/>
      <c r="E242" s="87"/>
      <c r="F242" s="93"/>
      <c r="G242" s="87"/>
      <c r="H242" s="194"/>
      <c r="I242" s="181"/>
      <c r="J242" s="6"/>
      <c r="K242" s="6"/>
      <c r="L242" s="175"/>
      <c r="M242" s="197"/>
      <c r="N242" s="273">
        <v>4.0369504125538613</v>
      </c>
      <c r="O242" s="196"/>
      <c r="P242" s="199"/>
      <c r="Q242" s="196"/>
      <c r="R242" s="196"/>
      <c r="S242" s="196"/>
      <c r="T242" s="196"/>
      <c r="U242" s="196"/>
      <c r="V242" s="196"/>
      <c r="W242" s="196"/>
      <c r="X242" s="196"/>
      <c r="Y242" s="196"/>
      <c r="Z242" s="196"/>
      <c r="AA242" s="196"/>
      <c r="AB242" s="196"/>
      <c r="AC242" s="196"/>
      <c r="AD242" s="181"/>
      <c r="AE242" s="6"/>
      <c r="AF242" s="6"/>
      <c r="AG242" s="6"/>
      <c r="AH242" s="6"/>
      <c r="AI242" s="6"/>
      <c r="AJ242" s="6"/>
      <c r="AK242" s="6"/>
      <c r="AL242" s="6"/>
      <c r="AM242" s="30"/>
      <c r="AN242" s="198"/>
      <c r="AO242" s="196"/>
      <c r="AP242" s="196"/>
      <c r="AQ242" s="196"/>
      <c r="AR242" s="196"/>
      <c r="AS242" s="196"/>
      <c r="AT242" s="196"/>
      <c r="AU242" s="196"/>
      <c r="AV242" s="196"/>
      <c r="AW242" s="196"/>
      <c r="AX242" s="198"/>
      <c r="AY242" s="164"/>
      <c r="AZ242" s="23"/>
      <c r="BA242" s="23"/>
      <c r="BB242" s="23"/>
      <c r="BC242" s="23"/>
      <c r="BD242" s="23"/>
      <c r="BE242" s="23"/>
      <c r="BF242" s="23"/>
      <c r="BG242" s="23"/>
      <c r="BH242" s="23"/>
      <c r="BI242" s="23"/>
      <c r="BJ242" s="23"/>
      <c r="BK242" s="23"/>
      <c r="BL242" s="23"/>
      <c r="BM242" s="23"/>
      <c r="BN242" s="23"/>
    </row>
    <row r="243" spans="1:66">
      <c r="A243" s="23"/>
      <c r="B243" s="100"/>
      <c r="C243" s="6"/>
      <c r="D243" s="6"/>
      <c r="E243" s="87"/>
      <c r="F243" s="93"/>
      <c r="G243" s="87"/>
      <c r="H243" s="194"/>
      <c r="I243" s="181"/>
      <c r="J243" s="6"/>
      <c r="K243" s="6"/>
      <c r="L243" s="175"/>
      <c r="M243" s="197"/>
      <c r="N243" s="198"/>
      <c r="O243" s="196"/>
      <c r="P243" s="199"/>
      <c r="Q243" s="196"/>
      <c r="R243" s="196"/>
      <c r="S243" s="196"/>
      <c r="T243" s="196"/>
      <c r="U243" s="196"/>
      <c r="V243" s="196"/>
      <c r="W243" s="196"/>
      <c r="X243" s="196"/>
      <c r="Y243" s="196"/>
      <c r="Z243" s="196"/>
      <c r="AA243" s="196"/>
      <c r="AB243" s="196"/>
      <c r="AC243" s="196"/>
      <c r="AD243" s="181"/>
      <c r="AE243" s="6"/>
      <c r="AF243" s="6"/>
      <c r="AG243" s="6"/>
      <c r="AH243" s="6"/>
      <c r="AI243" s="6"/>
      <c r="AJ243" s="6"/>
      <c r="AK243" s="6"/>
      <c r="AL243" s="6"/>
      <c r="AM243" s="30"/>
      <c r="AN243" s="198"/>
      <c r="AO243" s="196"/>
      <c r="AP243" s="196"/>
      <c r="AQ243" s="196"/>
      <c r="AR243" s="196"/>
      <c r="AS243" s="196"/>
      <c r="AT243" s="196"/>
      <c r="AU243" s="196"/>
      <c r="AV243" s="196"/>
      <c r="AW243" s="196"/>
      <c r="AX243" s="198"/>
      <c r="AY243" s="164"/>
      <c r="AZ243" s="23"/>
      <c r="BA243" s="23"/>
      <c r="BB243" s="23"/>
      <c r="BC243" s="23"/>
      <c r="BD243" s="23"/>
      <c r="BE243" s="23"/>
      <c r="BF243" s="23"/>
      <c r="BG243" s="23"/>
      <c r="BH243" s="23"/>
      <c r="BI243" s="23"/>
      <c r="BJ243" s="23"/>
      <c r="BK243" s="23"/>
      <c r="BL243" s="23"/>
      <c r="BM243" s="23"/>
      <c r="BN243" s="23"/>
    </row>
    <row r="244" spans="1:66">
      <c r="A244" s="23"/>
      <c r="B244" s="100"/>
      <c r="C244" s="6"/>
      <c r="D244" s="6"/>
      <c r="E244" s="87"/>
      <c r="F244" s="93"/>
      <c r="G244" s="87"/>
      <c r="H244" s="194"/>
      <c r="I244" s="181"/>
      <c r="J244" s="6"/>
      <c r="K244" s="6"/>
      <c r="L244" s="175"/>
      <c r="M244" s="197"/>
      <c r="N244" s="198"/>
      <c r="O244" s="196"/>
      <c r="P244" s="199"/>
      <c r="Q244" s="196"/>
      <c r="R244" s="196"/>
      <c r="S244" s="196"/>
      <c r="T244" s="196"/>
      <c r="U244" s="196"/>
      <c r="V244" s="196"/>
      <c r="W244" s="196"/>
      <c r="X244" s="196"/>
      <c r="Y244" s="196"/>
      <c r="Z244" s="196"/>
      <c r="AA244" s="196"/>
      <c r="AB244" s="196"/>
      <c r="AC244" s="196"/>
      <c r="AD244" s="181"/>
      <c r="AE244" s="6"/>
      <c r="AF244" s="6"/>
      <c r="AG244" s="6"/>
      <c r="AH244" s="6"/>
      <c r="AI244" s="6"/>
      <c r="AJ244" s="6"/>
      <c r="AK244" s="6"/>
      <c r="AL244" s="6"/>
      <c r="AM244" s="30"/>
      <c r="AN244" s="198"/>
      <c r="AO244" s="196"/>
      <c r="AP244" s="196"/>
      <c r="AQ244" s="196"/>
      <c r="AR244" s="196"/>
      <c r="AS244" s="196"/>
      <c r="AT244" s="196"/>
      <c r="AU244" s="196"/>
      <c r="AV244" s="196"/>
      <c r="AW244" s="196"/>
      <c r="AX244" s="198"/>
      <c r="AY244" s="164"/>
      <c r="AZ244" s="23"/>
      <c r="BA244" s="23"/>
      <c r="BB244" s="23"/>
      <c r="BC244" s="23"/>
      <c r="BD244" s="23"/>
      <c r="BE244" s="23"/>
      <c r="BF244" s="23"/>
      <c r="BG244" s="23"/>
      <c r="BH244" s="23"/>
      <c r="BI244" s="23"/>
      <c r="BJ244" s="23"/>
      <c r="BK244" s="23"/>
      <c r="BL244" s="23"/>
      <c r="BM244" s="23"/>
      <c r="BN244" s="23"/>
    </row>
    <row r="245" spans="1:66">
      <c r="A245" s="23"/>
      <c r="B245" s="100"/>
      <c r="C245" s="6"/>
      <c r="D245" s="6"/>
      <c r="E245" s="87"/>
      <c r="F245" s="93"/>
      <c r="G245" s="87"/>
      <c r="H245" s="194"/>
      <c r="I245" s="181"/>
      <c r="J245" s="6"/>
      <c r="K245" s="6"/>
      <c r="L245" s="175"/>
      <c r="M245" s="197"/>
      <c r="N245" s="198"/>
      <c r="O245" s="196"/>
      <c r="P245" s="199"/>
      <c r="Q245" s="196"/>
      <c r="R245" s="196"/>
      <c r="S245" s="196"/>
      <c r="T245" s="196"/>
      <c r="U245" s="196"/>
      <c r="V245" s="196"/>
      <c r="W245" s="196"/>
      <c r="X245" s="196"/>
      <c r="Y245" s="196"/>
      <c r="Z245" s="196"/>
      <c r="AA245" s="196"/>
      <c r="AB245" s="196"/>
      <c r="AC245" s="196"/>
      <c r="AD245" s="181"/>
      <c r="AE245" s="6"/>
      <c r="AF245" s="6"/>
      <c r="AG245" s="6"/>
      <c r="AH245" s="6"/>
      <c r="AI245" s="6"/>
      <c r="AJ245" s="6"/>
      <c r="AK245" s="6"/>
      <c r="AL245" s="6"/>
      <c r="AM245" s="30"/>
      <c r="AN245" s="198"/>
      <c r="AO245" s="196"/>
      <c r="AP245" s="196"/>
      <c r="AQ245" s="196"/>
      <c r="AR245" s="196"/>
      <c r="AS245" s="196"/>
      <c r="AT245" s="196"/>
      <c r="AU245" s="196"/>
      <c r="AV245" s="196"/>
      <c r="AW245" s="196"/>
      <c r="AX245" s="198"/>
      <c r="AY245" s="164"/>
      <c r="AZ245" s="23"/>
      <c r="BA245" s="23"/>
      <c r="BB245" s="23"/>
      <c r="BC245" s="23"/>
      <c r="BD245" s="23"/>
      <c r="BE245" s="23"/>
      <c r="BF245" s="23"/>
      <c r="BG245" s="23"/>
      <c r="BH245" s="23"/>
      <c r="BI245" s="23"/>
      <c r="BJ245" s="23"/>
      <c r="BK245" s="23"/>
      <c r="BL245" s="23"/>
      <c r="BM245" s="23"/>
      <c r="BN245" s="23"/>
    </row>
    <row r="246" spans="1:66">
      <c r="A246" s="23"/>
      <c r="B246" s="100"/>
      <c r="C246" s="6"/>
      <c r="D246" s="6"/>
      <c r="E246" s="87"/>
      <c r="F246" s="93"/>
      <c r="G246" s="87"/>
      <c r="H246" s="194"/>
      <c r="I246" s="181"/>
      <c r="J246" s="6"/>
      <c r="K246" s="6"/>
      <c r="L246" s="175"/>
      <c r="M246" s="197"/>
      <c r="N246" s="198"/>
      <c r="O246" s="196"/>
      <c r="P246" s="199"/>
      <c r="Q246" s="196"/>
      <c r="R246" s="196"/>
      <c r="S246" s="196"/>
      <c r="T246" s="196"/>
      <c r="U246" s="196"/>
      <c r="V246" s="196"/>
      <c r="W246" s="196"/>
      <c r="X246" s="196"/>
      <c r="Y246" s="196"/>
      <c r="Z246" s="196"/>
      <c r="AA246" s="196"/>
      <c r="AB246" s="196"/>
      <c r="AC246" s="196"/>
      <c r="AD246" s="181"/>
      <c r="AE246" s="6"/>
      <c r="AF246" s="6"/>
      <c r="AG246" s="6"/>
      <c r="AH246" s="6"/>
      <c r="AI246" s="6"/>
      <c r="AJ246" s="6"/>
      <c r="AK246" s="6"/>
      <c r="AL246" s="6"/>
      <c r="AM246" s="30"/>
      <c r="AN246" s="198"/>
      <c r="AO246" s="196"/>
      <c r="AP246" s="196"/>
      <c r="AQ246" s="196"/>
      <c r="AR246" s="196"/>
      <c r="AS246" s="196"/>
      <c r="AT246" s="196"/>
      <c r="AU246" s="196"/>
      <c r="AV246" s="196"/>
      <c r="AW246" s="196"/>
      <c r="AX246" s="198"/>
      <c r="AY246" s="164"/>
      <c r="AZ246" s="23"/>
      <c r="BA246" s="23"/>
      <c r="BB246" s="23"/>
      <c r="BC246" s="23"/>
      <c r="BD246" s="23"/>
      <c r="BE246" s="23"/>
      <c r="BF246" s="23"/>
      <c r="BG246" s="23"/>
      <c r="BH246" s="23"/>
      <c r="BI246" s="23"/>
      <c r="BJ246" s="23"/>
      <c r="BK246" s="23"/>
      <c r="BL246" s="23"/>
      <c r="BM246" s="23"/>
      <c r="BN246" s="23"/>
    </row>
    <row r="247" spans="1:66">
      <c r="A247" s="23"/>
      <c r="B247" s="100"/>
      <c r="C247" s="6"/>
      <c r="D247" s="6"/>
      <c r="E247" s="87"/>
      <c r="F247" s="93"/>
      <c r="G247" s="87"/>
      <c r="H247" s="194"/>
      <c r="I247" s="181"/>
      <c r="J247" s="6"/>
      <c r="K247" s="6"/>
      <c r="L247" s="175"/>
      <c r="M247" s="197"/>
      <c r="N247" s="198"/>
      <c r="O247" s="196"/>
      <c r="P247" s="199"/>
      <c r="Q247" s="196"/>
      <c r="R247" s="196"/>
      <c r="S247" s="196"/>
      <c r="T247" s="196"/>
      <c r="U247" s="196"/>
      <c r="V247" s="196"/>
      <c r="W247" s="196"/>
      <c r="X247" s="196"/>
      <c r="Y247" s="196"/>
      <c r="Z247" s="196"/>
      <c r="AA247" s="196"/>
      <c r="AB247" s="196"/>
      <c r="AC247" s="196"/>
      <c r="AD247" s="181"/>
      <c r="AE247" s="6"/>
      <c r="AF247" s="6"/>
      <c r="AG247" s="6"/>
      <c r="AH247" s="6"/>
      <c r="AI247" s="6"/>
      <c r="AJ247" s="6"/>
      <c r="AK247" s="6"/>
      <c r="AL247" s="6"/>
      <c r="AM247" s="30"/>
      <c r="AN247" s="198"/>
      <c r="AO247" s="196"/>
      <c r="AP247" s="196"/>
      <c r="AQ247" s="196"/>
      <c r="AR247" s="196"/>
      <c r="AS247" s="196"/>
      <c r="AT247" s="196"/>
      <c r="AU247" s="196"/>
      <c r="AV247" s="196"/>
      <c r="AW247" s="196"/>
      <c r="AX247" s="198"/>
      <c r="AY247" s="164"/>
      <c r="AZ247" s="23"/>
      <c r="BA247" s="23"/>
      <c r="BB247" s="23"/>
      <c r="BC247" s="23"/>
      <c r="BD247" s="23"/>
      <c r="BE247" s="23"/>
      <c r="BF247" s="23"/>
      <c r="BG247" s="23"/>
      <c r="BH247" s="23"/>
      <c r="BI247" s="23"/>
      <c r="BJ247" s="23"/>
      <c r="BK247" s="23"/>
      <c r="BL247" s="23"/>
      <c r="BM247" s="23"/>
      <c r="BN247" s="23"/>
    </row>
    <row r="248" spans="1:66">
      <c r="A248" s="23"/>
      <c r="B248" s="100"/>
      <c r="C248" s="6"/>
      <c r="D248" s="6"/>
      <c r="E248" s="87"/>
      <c r="F248" s="93"/>
      <c r="G248" s="87"/>
      <c r="H248" s="194"/>
      <c r="I248" s="181"/>
      <c r="J248" s="6"/>
      <c r="K248" s="6"/>
      <c r="L248" s="175"/>
      <c r="M248" s="197"/>
      <c r="N248" s="198"/>
      <c r="O248" s="196"/>
      <c r="P248" s="199"/>
      <c r="Q248" s="196"/>
      <c r="R248" s="196"/>
      <c r="S248" s="196"/>
      <c r="T248" s="196"/>
      <c r="U248" s="196"/>
      <c r="V248" s="196"/>
      <c r="W248" s="196"/>
      <c r="X248" s="196"/>
      <c r="Y248" s="196"/>
      <c r="Z248" s="196"/>
      <c r="AA248" s="196"/>
      <c r="AB248" s="196"/>
      <c r="AC248" s="196"/>
      <c r="AD248" s="181"/>
      <c r="AE248" s="6"/>
      <c r="AF248" s="6"/>
      <c r="AG248" s="6"/>
      <c r="AH248" s="6"/>
      <c r="AI248" s="6"/>
      <c r="AJ248" s="6"/>
      <c r="AK248" s="6"/>
      <c r="AL248" s="6"/>
      <c r="AM248" s="30"/>
      <c r="AN248" s="198"/>
      <c r="AO248" s="196"/>
      <c r="AP248" s="196"/>
      <c r="AQ248" s="196"/>
      <c r="AR248" s="196"/>
      <c r="AS248" s="196"/>
      <c r="AT248" s="196"/>
      <c r="AU248" s="196"/>
      <c r="AV248" s="196"/>
      <c r="AW248" s="196"/>
      <c r="AX248" s="198"/>
      <c r="AY248" s="164"/>
      <c r="AZ248" s="23"/>
      <c r="BA248" s="23"/>
      <c r="BB248" s="23"/>
      <c r="BC248" s="23"/>
      <c r="BD248" s="23"/>
      <c r="BE248" s="23"/>
      <c r="BF248" s="23"/>
      <c r="BG248" s="23"/>
      <c r="BH248" s="23"/>
      <c r="BI248" s="23"/>
      <c r="BJ248" s="23"/>
      <c r="BK248" s="23"/>
      <c r="BL248" s="23"/>
      <c r="BM248" s="23"/>
      <c r="BN248" s="23"/>
    </row>
    <row r="249" spans="1:66">
      <c r="A249" s="23"/>
      <c r="B249" s="100"/>
      <c r="C249" s="6"/>
      <c r="D249" s="6"/>
      <c r="E249" s="87"/>
      <c r="F249" s="93"/>
      <c r="G249" s="87"/>
      <c r="H249" s="194"/>
      <c r="I249" s="181"/>
      <c r="J249" s="6"/>
      <c r="K249" s="6"/>
      <c r="L249" s="175"/>
      <c r="M249" s="197"/>
      <c r="N249" s="198"/>
      <c r="O249" s="196"/>
      <c r="P249" s="199"/>
      <c r="Q249" s="196"/>
      <c r="R249" s="196"/>
      <c r="S249" s="196"/>
      <c r="T249" s="196"/>
      <c r="U249" s="196"/>
      <c r="V249" s="196"/>
      <c r="W249" s="196"/>
      <c r="X249" s="196"/>
      <c r="Y249" s="196"/>
      <c r="Z249" s="196"/>
      <c r="AA249" s="196"/>
      <c r="AB249" s="196"/>
      <c r="AC249" s="196"/>
      <c r="AD249" s="181"/>
      <c r="AE249" s="6"/>
      <c r="AF249" s="6"/>
      <c r="AG249" s="6"/>
      <c r="AH249" s="6"/>
      <c r="AI249" s="6"/>
      <c r="AJ249" s="6"/>
      <c r="AK249" s="6"/>
      <c r="AL249" s="6"/>
      <c r="AM249" s="30"/>
      <c r="AN249" s="198"/>
      <c r="AO249" s="196"/>
      <c r="AP249" s="196"/>
      <c r="AQ249" s="196"/>
      <c r="AR249" s="196"/>
      <c r="AS249" s="196"/>
      <c r="AT249" s="196"/>
      <c r="AU249" s="196"/>
      <c r="AV249" s="196"/>
      <c r="AW249" s="196"/>
      <c r="AX249" s="198"/>
      <c r="AY249" s="164"/>
      <c r="AZ249" s="23"/>
      <c r="BA249" s="23"/>
      <c r="BB249" s="23"/>
      <c r="BC249" s="23"/>
      <c r="BD249" s="23"/>
      <c r="BE249" s="23"/>
      <c r="BF249" s="23"/>
      <c r="BG249" s="23"/>
      <c r="BH249" s="23"/>
      <c r="BI249" s="23"/>
      <c r="BJ249" s="23"/>
      <c r="BK249" s="23"/>
      <c r="BL249" s="23"/>
      <c r="BM249" s="23"/>
      <c r="BN249" s="23"/>
    </row>
    <row r="250" spans="1:66">
      <c r="A250" s="23"/>
      <c r="B250" s="100"/>
      <c r="C250" s="6"/>
      <c r="D250" s="6"/>
      <c r="E250" s="87"/>
      <c r="F250" s="93"/>
      <c r="G250" s="87"/>
      <c r="H250" s="194"/>
      <c r="I250" s="181"/>
      <c r="J250" s="6"/>
      <c r="K250" s="6"/>
      <c r="L250" s="175"/>
      <c r="M250" s="197"/>
      <c r="N250" s="198"/>
      <c r="O250" s="196"/>
      <c r="P250" s="199"/>
      <c r="Q250" s="196"/>
      <c r="R250" s="196"/>
      <c r="S250" s="196"/>
      <c r="T250" s="196"/>
      <c r="U250" s="196"/>
      <c r="V250" s="196"/>
      <c r="W250" s="196"/>
      <c r="X250" s="196"/>
      <c r="Y250" s="196"/>
      <c r="Z250" s="196"/>
      <c r="AA250" s="196"/>
      <c r="AB250" s="196"/>
      <c r="AC250" s="196"/>
      <c r="AD250" s="181"/>
      <c r="AE250" s="6"/>
      <c r="AF250" s="6"/>
      <c r="AG250" s="6"/>
      <c r="AH250" s="6"/>
      <c r="AI250" s="6"/>
      <c r="AJ250" s="6"/>
      <c r="AK250" s="6"/>
      <c r="AL250" s="6"/>
      <c r="AM250" s="30"/>
      <c r="AN250" s="198"/>
      <c r="AO250" s="196"/>
      <c r="AP250" s="196"/>
      <c r="AQ250" s="196"/>
      <c r="AR250" s="196"/>
      <c r="AS250" s="196"/>
      <c r="AT250" s="196"/>
      <c r="AU250" s="196"/>
      <c r="AV250" s="196"/>
      <c r="AW250" s="196"/>
      <c r="AX250" s="198"/>
      <c r="AY250" s="164"/>
      <c r="AZ250" s="23"/>
      <c r="BA250" s="23"/>
      <c r="BB250" s="23"/>
      <c r="BC250" s="23"/>
      <c r="BD250" s="23"/>
      <c r="BE250" s="23"/>
      <c r="BF250" s="23"/>
      <c r="BG250" s="23"/>
      <c r="BH250" s="23"/>
      <c r="BI250" s="23"/>
      <c r="BJ250" s="23"/>
      <c r="BK250" s="23"/>
      <c r="BL250" s="23"/>
      <c r="BM250" s="23"/>
      <c r="BN250" s="23"/>
    </row>
    <row r="251" spans="1:66">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row>
    <row r="252" spans="1:66">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row>
  </sheetData>
  <phoneticPr fontId="2"/>
  <conditionalFormatting sqref="D47 E1 E19:E25 E28:E33 E39:E42 I44 E251:E252 F48:F250">
    <cfRule type="cellIs" dxfId="4" priority="4" operator="equal">
      <formula>"基準"</formula>
    </cfRule>
  </conditionalFormatting>
  <conditionalFormatting sqref="E47 F1 F19:F25 F28:F33 F42 F44:F46 F251:F252 G46:J46 G48:H250">
    <cfRule type="cellIs" dxfId="3" priority="3" stopIfTrue="1" operator="equal">
      <formula>"端リブ"</formula>
    </cfRule>
  </conditionalFormatting>
  <conditionalFormatting sqref="M243:O250 M51:M242 O193:O242">
    <cfRule type="cellIs" dxfId="2" priority="2" operator="between">
      <formula>0.1</formula>
      <formula>10</formula>
    </cfRule>
  </conditionalFormatting>
  <conditionalFormatting sqref="H51:H252">
    <cfRule type="cellIs" dxfId="1" priority="1" stopIfTrue="1" operator="equal">
      <formula>"half"</formula>
    </cfRule>
  </conditionalFormatting>
  <dataValidations count="4">
    <dataValidation type="list" allowBlank="1" showInputMessage="1" showErrorMessage="1" sqref="H53:H250" xr:uid="{D9DB1EDB-17EB-4927-9020-79A256518066}">
      <formula1>"full,half"</formula1>
    </dataValidation>
    <dataValidation type="list" allowBlank="1" showInputMessage="1" showErrorMessage="1" sqref="AD26:AD29" xr:uid="{61DE0F6F-DBA0-49D3-A5B2-82814E22CB98}">
      <formula1>"dxf,svg,pdf,csv"</formula1>
    </dataValidation>
    <dataValidation type="list" allowBlank="1" showInputMessage="1" showErrorMessage="1" sqref="G51:G250" xr:uid="{F0CAC2C7-11B9-4842-94F2-57413B2C3F88}">
      <formula1>"端リブ,0番,1番,2番,3番,ウィングレット"</formula1>
    </dataValidation>
    <dataValidation type="list" allowBlank="1" showInputMessage="1" showErrorMessage="1" sqref="F51:F250" xr:uid="{15C737B9-E1FA-4462-BF2F-1FF5C3FF4FDD}">
      <formula1>"基準,flat,1st,2nd,3rd,4th,5th,6th"</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0421" r:id="rId3" name="Button 5">
              <controlPr defaultSize="0" print="0" autoFill="0" autoPict="0" macro="[0]!LLT_steady">
                <anchor moveWithCells="1" sizeWithCells="1">
                  <from>
                    <xdr:col>14</xdr:col>
                    <xdr:colOff>676275</xdr:colOff>
                    <xdr:row>1</xdr:row>
                    <xdr:rowOff>238125</xdr:rowOff>
                  </from>
                  <to>
                    <xdr:col>16</xdr:col>
                    <xdr:colOff>9525</xdr:colOff>
                    <xdr:row>3</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FD1911-6410-4CC4-B59F-42169C500214}">
  <sheetPr codeName="Sheet9">
    <tabColor theme="5" tint="0.79998168889431442"/>
  </sheetPr>
  <dimension ref="B1:AO440"/>
  <sheetViews>
    <sheetView zoomScale="94" zoomScaleNormal="72" workbookViewId="0">
      <selection activeCell="F69" sqref="F69"/>
    </sheetView>
  </sheetViews>
  <sheetFormatPr defaultRowHeight="18.75"/>
  <cols>
    <col min="2" max="2" width="16.375" customWidth="1"/>
    <col min="3" max="3" width="10.375" customWidth="1"/>
    <col min="4" max="5" width="9.625" customWidth="1"/>
    <col min="6" max="6" width="10.5" customWidth="1"/>
    <col min="7" max="7" width="9.875" customWidth="1"/>
    <col min="8" max="8" width="9.375" bestFit="1" customWidth="1"/>
    <col min="10" max="10" width="9.75" bestFit="1" customWidth="1"/>
    <col min="11" max="11" width="11.375" customWidth="1"/>
    <col min="12" max="12" width="10.625" customWidth="1"/>
    <col min="13" max="13" width="9.875" customWidth="1"/>
    <col min="14" max="15" width="10.25" customWidth="1"/>
    <col min="16" max="16" width="15.375" customWidth="1"/>
    <col min="17" max="17" width="11.375" customWidth="1"/>
    <col min="18" max="18" width="9.375" bestFit="1" customWidth="1"/>
  </cols>
  <sheetData>
    <row r="1" spans="2:35">
      <c r="Y1" t="s">
        <v>939</v>
      </c>
    </row>
    <row r="2" spans="2:35">
      <c r="B2" s="279" t="s">
        <v>794</v>
      </c>
      <c r="C2" s="279"/>
      <c r="K2" s="279" t="s">
        <v>797</v>
      </c>
      <c r="L2" s="279"/>
      <c r="M2" s="279"/>
      <c r="N2" s="279"/>
      <c r="O2" s="84"/>
      <c r="Y2" s="49"/>
      <c r="Z2" s="147" t="s">
        <v>799</v>
      </c>
      <c r="AA2" s="147" t="s">
        <v>800</v>
      </c>
      <c r="AB2" s="147" t="s">
        <v>823</v>
      </c>
      <c r="AC2" s="147" t="s">
        <v>824</v>
      </c>
      <c r="AD2" s="147" t="s">
        <v>786</v>
      </c>
      <c r="AH2" s="207" t="s">
        <v>1004</v>
      </c>
      <c r="AI2" s="146">
        <f>'主翼(平面形結果)'!J10</f>
        <v>0.38</v>
      </c>
    </row>
    <row r="3" spans="2:35" ht="19.5" thickBot="1">
      <c r="P3" s="214"/>
      <c r="Q3" s="211" t="s">
        <v>799</v>
      </c>
      <c r="S3" s="278" t="s">
        <v>800</v>
      </c>
      <c r="T3" s="278"/>
      <c r="Y3" s="73"/>
      <c r="Z3" s="73" t="s">
        <v>789</v>
      </c>
      <c r="AA3" s="73" t="s">
        <v>793</v>
      </c>
      <c r="AB3" s="73" t="s">
        <v>789</v>
      </c>
      <c r="AC3" s="73" t="s">
        <v>793</v>
      </c>
      <c r="AD3" s="73"/>
      <c r="AE3" s="1"/>
    </row>
    <row r="4" spans="2:35" ht="19.5" thickTop="1">
      <c r="B4" s="49" t="s">
        <v>791</v>
      </c>
      <c r="C4" s="147" t="s">
        <v>787</v>
      </c>
      <c r="D4" s="147" t="s">
        <v>557</v>
      </c>
      <c r="E4" s="147" t="s">
        <v>792</v>
      </c>
      <c r="F4" s="147" t="s">
        <v>802</v>
      </c>
      <c r="G4" s="147" t="s">
        <v>795</v>
      </c>
      <c r="H4" s="147" t="s">
        <v>796</v>
      </c>
      <c r="I4" s="147" t="s">
        <v>788</v>
      </c>
      <c r="K4" s="215" t="s">
        <v>815</v>
      </c>
      <c r="L4" s="213" t="s">
        <v>821</v>
      </c>
      <c r="M4" s="49" t="s">
        <v>817</v>
      </c>
      <c r="N4" s="49">
        <v>0.15</v>
      </c>
      <c r="P4" s="215" t="s">
        <v>806</v>
      </c>
      <c r="Q4" s="212">
        <v>0</v>
      </c>
      <c r="S4" s="49" t="s">
        <v>757</v>
      </c>
      <c r="T4" s="49" t="s">
        <v>801</v>
      </c>
      <c r="Y4" s="209" t="s">
        <v>806</v>
      </c>
      <c r="Z4" s="144">
        <f>Q4</f>
        <v>0</v>
      </c>
      <c r="AA4" s="230" cm="1">
        <f t="array" ref="AA4">_xlfn.IFS(Z4&lt;$S$5,0,AND(Z4&gt;=$S$5,Z4&lt;$S$6),$T$5,Z4&gt;=$S$6,$T$6)</f>
        <v>0</v>
      </c>
      <c r="AB4" s="230">
        <f t="shared" ref="AB4:AB13" si="0">$I$6/$I$11*E22+$I$7/$I$11*E41+$I$8/$I$11*E61</f>
        <v>1.1000000000000001</v>
      </c>
      <c r="AC4" s="230">
        <f t="shared" ref="AC4:AC13" si="1">$I$6/$I$11*F22+$I$7/$I$11*F41+$I$8/$I$11*F61</f>
        <v>3.7199999999999998</v>
      </c>
      <c r="AD4" s="210" t="s">
        <v>955</v>
      </c>
    </row>
    <row r="5" spans="2:35" ht="19.5" thickBot="1">
      <c r="B5" s="73" t="s">
        <v>312</v>
      </c>
      <c r="C5" s="73" t="s">
        <v>789</v>
      </c>
      <c r="D5" s="73" t="s">
        <v>790</v>
      </c>
      <c r="E5" s="73" t="s">
        <v>793</v>
      </c>
      <c r="F5" s="73" t="s">
        <v>833</v>
      </c>
      <c r="G5" s="73"/>
      <c r="H5" s="73" t="s">
        <v>798</v>
      </c>
      <c r="I5" s="73"/>
      <c r="K5" s="215" t="s">
        <v>816</v>
      </c>
      <c r="L5" s="213" t="s">
        <v>819</v>
      </c>
      <c r="M5" s="49" t="s">
        <v>822</v>
      </c>
      <c r="N5" s="49">
        <f>C204</f>
        <v>87</v>
      </c>
      <c r="P5" s="215" t="s">
        <v>807</v>
      </c>
      <c r="Q5" s="212">
        <v>2.2749999999999999</v>
      </c>
      <c r="S5" s="143">
        <v>7.6</v>
      </c>
      <c r="T5" s="143">
        <v>6</v>
      </c>
      <c r="Y5" s="147" t="s">
        <v>807</v>
      </c>
      <c r="Z5" s="49">
        <f>Q5</f>
        <v>2.2749999999999999</v>
      </c>
      <c r="AA5" s="231" cm="1">
        <f t="array" ref="AA5">_xlfn.IFS(Z5&lt;$S$5,0,AND(Z5&gt;=$S$5,Z5&lt;$S$6),$T$5,Z5&gt;=$S$6,$T$6)</f>
        <v>0</v>
      </c>
      <c r="AB5" s="230">
        <f t="shared" si="0"/>
        <v>1.1000000000000001</v>
      </c>
      <c r="AC5" s="230">
        <f t="shared" si="1"/>
        <v>3.7199999999999998</v>
      </c>
      <c r="AD5" s="143" t="s">
        <v>955</v>
      </c>
    </row>
    <row r="6" spans="2:35" ht="19.5" thickTop="1">
      <c r="B6" s="209" t="s">
        <v>1040</v>
      </c>
      <c r="C6" s="210">
        <v>3</v>
      </c>
      <c r="D6" s="210">
        <v>9.5</v>
      </c>
      <c r="E6" s="210">
        <v>1.5</v>
      </c>
      <c r="F6" s="210">
        <v>1200</v>
      </c>
      <c r="G6" s="210"/>
      <c r="H6" s="217">
        <f>N25</f>
        <v>3242.6040933009804</v>
      </c>
      <c r="I6" s="210">
        <v>0.3</v>
      </c>
      <c r="J6">
        <v>9.75</v>
      </c>
      <c r="K6" s="215" t="s">
        <v>334</v>
      </c>
      <c r="L6" s="213" t="s">
        <v>266</v>
      </c>
      <c r="M6" s="49" t="s">
        <v>789</v>
      </c>
      <c r="N6" s="49">
        <f>全機諸元!D20</f>
        <v>26.5</v>
      </c>
      <c r="P6" s="215" t="s">
        <v>808</v>
      </c>
      <c r="Q6" s="212">
        <v>4.8499999999999996</v>
      </c>
      <c r="S6" s="143">
        <v>12.8</v>
      </c>
      <c r="T6" s="143">
        <v>12</v>
      </c>
      <c r="Y6" s="147" t="s">
        <v>808</v>
      </c>
      <c r="Z6" s="144">
        <f t="shared" ref="Z6:Z13" si="2">Q6</f>
        <v>4.8499999999999996</v>
      </c>
      <c r="AA6" s="231" cm="1">
        <f t="array" ref="AA6">_xlfn.IFS(Z6&lt;$S$5,0,AND(Z6&gt;=$S$5,Z6&lt;$S$6),$T$5,Z6&gt;=$S$6,$T$6)</f>
        <v>0</v>
      </c>
      <c r="AB6" s="230">
        <f t="shared" si="0"/>
        <v>0.89800000000000002</v>
      </c>
      <c r="AC6" s="230">
        <f t="shared" si="1"/>
        <v>3.6799999999999997</v>
      </c>
      <c r="AD6" s="143" t="s">
        <v>956</v>
      </c>
    </row>
    <row r="7" spans="2:35">
      <c r="B7" s="147" t="s">
        <v>1041</v>
      </c>
      <c r="C7" s="210">
        <v>3</v>
      </c>
      <c r="D7" s="210">
        <v>10.5</v>
      </c>
      <c r="E7" s="143">
        <v>0</v>
      </c>
      <c r="F7" s="210">
        <v>1200</v>
      </c>
      <c r="G7" s="143">
        <v>0.9</v>
      </c>
      <c r="H7" s="218">
        <f>N44</f>
        <v>2991.126169480463</v>
      </c>
      <c r="I7" s="143">
        <v>0.5</v>
      </c>
      <c r="K7" s="215" t="s">
        <v>994</v>
      </c>
      <c r="L7" s="213" t="s">
        <v>818</v>
      </c>
      <c r="M7" s="49" t="s">
        <v>804</v>
      </c>
      <c r="N7" s="49">
        <f>全機諸元!D17*パラメーター!D5</f>
        <v>1195.2340000000002</v>
      </c>
      <c r="O7" s="23"/>
      <c r="P7" s="215" t="s">
        <v>809</v>
      </c>
      <c r="Q7" s="212">
        <v>7.6</v>
      </c>
      <c r="Y7" s="147" t="s">
        <v>809</v>
      </c>
      <c r="Z7" s="49">
        <f t="shared" si="2"/>
        <v>7.6</v>
      </c>
      <c r="AA7" s="231" cm="1">
        <f t="array" ref="AA7">_xlfn.IFS(Z7&lt;$S$5,0,AND(Z7&gt;=$S$5,Z7&lt;$S$6),$T$5,Z7&gt;=$S$6,$T$6)</f>
        <v>6</v>
      </c>
      <c r="AB7" s="230">
        <f t="shared" si="0"/>
        <v>0.74199999999999999</v>
      </c>
      <c r="AC7" s="230">
        <f t="shared" si="1"/>
        <v>3.6799999999999997</v>
      </c>
      <c r="AD7" s="143" t="s">
        <v>956</v>
      </c>
    </row>
    <row r="8" spans="2:35">
      <c r="B8" s="147" t="s">
        <v>1042</v>
      </c>
      <c r="C8" s="143">
        <v>3</v>
      </c>
      <c r="D8" s="143">
        <v>11.5</v>
      </c>
      <c r="E8" s="143">
        <v>-1.5</v>
      </c>
      <c r="F8" s="210">
        <v>1200</v>
      </c>
      <c r="G8" s="143">
        <v>0.89</v>
      </c>
      <c r="H8" s="218">
        <f>N64</f>
        <v>3002.9354662578817</v>
      </c>
      <c r="I8" s="143">
        <v>0.2</v>
      </c>
      <c r="K8" s="215" t="s">
        <v>803</v>
      </c>
      <c r="L8" s="213" t="s">
        <v>820</v>
      </c>
      <c r="M8" s="49" t="s">
        <v>805</v>
      </c>
      <c r="N8" s="12">
        <f>パラメーター!D4</f>
        <v>1.1528198974645434</v>
      </c>
      <c r="P8" s="215" t="s">
        <v>810</v>
      </c>
      <c r="Q8" s="212">
        <v>8.5500000000000007</v>
      </c>
      <c r="Y8" s="147" t="s">
        <v>810</v>
      </c>
      <c r="Z8" s="144">
        <f t="shared" si="2"/>
        <v>8.5500000000000007</v>
      </c>
      <c r="AA8" s="231" cm="1">
        <f t="array" ref="AA8">_xlfn.IFS(Z8&lt;$S$5,0,AND(Z8&gt;=$S$5,Z8&lt;$S$6),$T$5,Z8&gt;=$S$6,$T$6)</f>
        <v>6</v>
      </c>
      <c r="AB8" s="230">
        <f t="shared" si="0"/>
        <v>0.625</v>
      </c>
      <c r="AC8" s="230">
        <f t="shared" si="1"/>
        <v>3.6799999999999997</v>
      </c>
      <c r="AD8" s="210" t="s">
        <v>956</v>
      </c>
    </row>
    <row r="9" spans="2:35">
      <c r="B9" s="147"/>
      <c r="C9" s="143"/>
      <c r="D9" s="143"/>
      <c r="E9" s="143"/>
      <c r="F9" s="210"/>
      <c r="G9" s="143"/>
      <c r="H9" s="208"/>
      <c r="I9" s="143"/>
      <c r="K9" s="215"/>
      <c r="L9" s="213"/>
      <c r="M9" s="49"/>
      <c r="N9" s="49"/>
      <c r="P9" s="215" t="s">
        <v>811</v>
      </c>
      <c r="Q9" s="212">
        <v>11.275</v>
      </c>
      <c r="Y9" s="147" t="s">
        <v>811</v>
      </c>
      <c r="Z9" s="49">
        <f t="shared" si="2"/>
        <v>11.275</v>
      </c>
      <c r="AA9" s="231" cm="1">
        <f t="array" ref="AA9">_xlfn.IFS(Z9&lt;$S$5,0,AND(Z9&gt;=$S$5,Z9&lt;$S$6),$T$5,Z9&gt;=$S$6,$T$6)</f>
        <v>6</v>
      </c>
      <c r="AB9" s="230">
        <f t="shared" si="0"/>
        <v>0.57500000000000007</v>
      </c>
      <c r="AC9" s="230">
        <f t="shared" si="1"/>
        <v>2.59</v>
      </c>
      <c r="AD9" s="143" t="s">
        <v>946</v>
      </c>
    </row>
    <row r="10" spans="2:35">
      <c r="B10" s="147"/>
      <c r="C10" s="143"/>
      <c r="D10" s="143"/>
      <c r="E10" s="143"/>
      <c r="F10" s="210"/>
      <c r="G10" s="143"/>
      <c r="H10" s="208"/>
      <c r="I10" s="143"/>
      <c r="K10" s="215"/>
      <c r="L10" s="213"/>
      <c r="M10" s="49"/>
      <c r="N10" s="49"/>
      <c r="P10" s="215" t="s">
        <v>812</v>
      </c>
      <c r="Q10" s="212">
        <v>12.2</v>
      </c>
      <c r="S10" s="212">
        <v>2.2749999999999999</v>
      </c>
      <c r="Y10" s="147" t="s">
        <v>812</v>
      </c>
      <c r="Z10" s="144">
        <f t="shared" si="2"/>
        <v>12.2</v>
      </c>
      <c r="AA10" s="231" cm="1">
        <f t="array" ref="AA10">_xlfn.IFS(Z10&lt;$S$5,0,AND(Z10&gt;=$S$5,Z10&lt;$S$6),$T$5,Z10&gt;=$S$6,$T$6)</f>
        <v>6</v>
      </c>
      <c r="AB10" s="230">
        <f t="shared" si="0"/>
        <v>0.42599999999999999</v>
      </c>
      <c r="AC10" s="230">
        <f t="shared" si="1"/>
        <v>2</v>
      </c>
      <c r="AD10" s="143" t="s">
        <v>946</v>
      </c>
    </row>
    <row r="11" spans="2:35">
      <c r="H11" t="s">
        <v>1133</v>
      </c>
      <c r="I11">
        <f>SUM(I6:I10)</f>
        <v>1</v>
      </c>
      <c r="K11" s="215"/>
      <c r="L11" s="213"/>
      <c r="M11" s="49"/>
      <c r="N11" s="49"/>
      <c r="P11" s="215" t="s">
        <v>813</v>
      </c>
      <c r="Q11" s="212">
        <v>12.5</v>
      </c>
      <c r="S11" s="212">
        <v>4.8499999999999996</v>
      </c>
      <c r="Y11" s="147" t="s">
        <v>813</v>
      </c>
      <c r="Z11" s="49">
        <f t="shared" si="2"/>
        <v>12.5</v>
      </c>
      <c r="AA11" s="231" cm="1">
        <f t="array" ref="AA11">_xlfn.IFS(Z11&lt;$S$5,0,AND(Z11&gt;=$S$5,Z11&lt;$S$6),$T$5,Z11&gt;=$S$6,$T$6)</f>
        <v>6</v>
      </c>
      <c r="AB11" s="230">
        <f t="shared" si="0"/>
        <v>0.35</v>
      </c>
      <c r="AC11" s="230">
        <f t="shared" si="1"/>
        <v>2</v>
      </c>
      <c r="AD11" s="143" t="s">
        <v>1178</v>
      </c>
    </row>
    <row r="12" spans="2:35">
      <c r="P12" s="215" t="s">
        <v>814</v>
      </c>
      <c r="Q12" s="212">
        <v>12.95</v>
      </c>
      <c r="S12" s="212">
        <v>7.6</v>
      </c>
      <c r="Y12" s="147" t="s">
        <v>814</v>
      </c>
      <c r="Z12" s="144">
        <f t="shared" si="2"/>
        <v>12.95</v>
      </c>
      <c r="AA12" s="231" cm="1">
        <f t="array" ref="AA12">_xlfn.IFS(Z12&lt;$S$5,0,AND(Z12&gt;=$S$5,Z12&lt;$S$6),$T$5,Z12&gt;=$S$6,$T$6)</f>
        <v>12</v>
      </c>
      <c r="AB12" s="230">
        <f t="shared" si="0"/>
        <v>0.2</v>
      </c>
      <c r="AC12" s="230">
        <f t="shared" si="1"/>
        <v>1.7</v>
      </c>
      <c r="AD12" s="143" t="s">
        <v>1178</v>
      </c>
    </row>
    <row r="13" spans="2:35">
      <c r="P13" s="215" t="s">
        <v>780</v>
      </c>
      <c r="Q13" s="213">
        <v>13.25</v>
      </c>
      <c r="S13" s="212">
        <v>8.5500000000000007</v>
      </c>
      <c r="Y13" s="147" t="s">
        <v>780</v>
      </c>
      <c r="Z13" s="49">
        <f t="shared" si="2"/>
        <v>13.25</v>
      </c>
      <c r="AA13" s="231" cm="1">
        <f t="array" ref="AA13">_xlfn.IFS(Z13&lt;$S$5,0,AND(Z13&gt;=$S$5,Z13&lt;$S$6),$T$5,Z13&gt;=$S$6,$T$6)</f>
        <v>12</v>
      </c>
      <c r="AB13" s="230">
        <f t="shared" si="0"/>
        <v>0.15</v>
      </c>
      <c r="AC13" s="230">
        <f t="shared" si="1"/>
        <v>1.7</v>
      </c>
      <c r="AD13" s="143" t="s">
        <v>1178</v>
      </c>
    </row>
    <row r="14" spans="2:35">
      <c r="S14" s="212">
        <v>11.275</v>
      </c>
    </row>
    <row r="15" spans="2:35">
      <c r="S15" s="212">
        <v>12.2</v>
      </c>
    </row>
    <row r="16" spans="2:35">
      <c r="B16" s="279" t="str">
        <f>B6</f>
        <v>case1</v>
      </c>
      <c r="C16" s="279"/>
      <c r="D16" s="279"/>
    </row>
    <row r="17" spans="2:22">
      <c r="B17" s="84"/>
      <c r="C17" s="84"/>
      <c r="D17" s="84"/>
    </row>
    <row r="18" spans="2:22">
      <c r="B18" s="84"/>
      <c r="C18" s="84"/>
      <c r="D18" s="84"/>
    </row>
    <row r="20" spans="2:22">
      <c r="B20" s="49"/>
      <c r="C20" s="147" t="s">
        <v>799</v>
      </c>
      <c r="D20" s="147" t="s">
        <v>800</v>
      </c>
      <c r="E20" s="147" t="s">
        <v>823</v>
      </c>
      <c r="F20" s="147" t="s">
        <v>824</v>
      </c>
      <c r="G20" s="147" t="s">
        <v>786</v>
      </c>
      <c r="H20" s="147" t="s">
        <v>825</v>
      </c>
      <c r="I20" s="147" t="s">
        <v>826</v>
      </c>
      <c r="J20" s="147" t="s">
        <v>827</v>
      </c>
      <c r="L20" s="279" t="s">
        <v>830</v>
      </c>
      <c r="M20" s="279"/>
      <c r="S20" t="s">
        <v>997</v>
      </c>
      <c r="T20" t="s">
        <v>659</v>
      </c>
      <c r="U20" t="s">
        <v>824</v>
      </c>
      <c r="V20" t="s">
        <v>659</v>
      </c>
    </row>
    <row r="21" spans="2:22" ht="19.5" thickBot="1">
      <c r="B21" s="73"/>
      <c r="C21" s="73" t="s">
        <v>789</v>
      </c>
      <c r="D21" s="73" t="s">
        <v>793</v>
      </c>
      <c r="E21" s="73" t="s">
        <v>789</v>
      </c>
      <c r="F21" s="73" t="s">
        <v>793</v>
      </c>
      <c r="G21" s="73"/>
      <c r="H21" s="159" t="s">
        <v>406</v>
      </c>
      <c r="I21" s="159" t="s">
        <v>406</v>
      </c>
      <c r="J21" s="159" t="s">
        <v>406</v>
      </c>
      <c r="L21" s="84"/>
      <c r="M21" s="84"/>
      <c r="S21" t="s">
        <v>665</v>
      </c>
      <c r="T21" t="s">
        <v>145</v>
      </c>
      <c r="U21" t="s">
        <v>998</v>
      </c>
      <c r="V21" t="s">
        <v>148</v>
      </c>
    </row>
    <row r="22" spans="2:22" ht="19.5" thickTop="1">
      <c r="B22" s="209" t="s">
        <v>806</v>
      </c>
      <c r="C22" s="144">
        <f>Q4</f>
        <v>0</v>
      </c>
      <c r="D22" s="144" cm="1">
        <f t="array" ref="D22">_xlfn.IFS(C22&lt;$S$5,0,AND(C22&gt;=$S$5,C22&lt;$S$6),$T$5,C22&gt;=$S$6,$T$6)</f>
        <v>0</v>
      </c>
      <c r="E22" s="210">
        <v>1.1000000000000001</v>
      </c>
      <c r="F22" s="210">
        <v>3.4</v>
      </c>
      <c r="G22" s="144" t="str">
        <f>AD4</f>
        <v>主翼翼型1</v>
      </c>
      <c r="H22" s="49">
        <v>5.2922463816834568</v>
      </c>
      <c r="I22" s="49">
        <v>5.7095302732831206</v>
      </c>
      <c r="J22" s="49">
        <f>_xlfn.XLOOKUP(C22,C$208:C$400,O$208:O$400)</f>
        <v>5.7978464707412201</v>
      </c>
      <c r="L22" s="2" t="s">
        <v>831</v>
      </c>
      <c r="M22" s="6" t="s">
        <v>379</v>
      </c>
      <c r="N22" s="196">
        <v>1.5797641536581548</v>
      </c>
      <c r="O22" s="6" t="s">
        <v>142</v>
      </c>
      <c r="S22" cm="1">
        <f t="array" ref="S22:T22">LINEST(E22:E23,$C$22:$C$23,TRUE,FALSE)</f>
        <v>0</v>
      </c>
      <c r="T22">
        <v>1.1000000000000001</v>
      </c>
      <c r="U22" cm="1">
        <f t="array" ref="U22:V22">LINEST(F22:F23,$C22:$C23,TRUE,FALSE)</f>
        <v>0</v>
      </c>
      <c r="V22">
        <v>3.4</v>
      </c>
    </row>
    <row r="23" spans="2:22">
      <c r="B23" s="147" t="s">
        <v>807</v>
      </c>
      <c r="C23" s="49">
        <f>Q5</f>
        <v>2.2749999999999999</v>
      </c>
      <c r="D23" s="144" cm="1">
        <f t="array" ref="D23">_xlfn.IFS(C23&lt;$S$5,0,AND(C23&gt;=$S$5,C23&lt;$S$6),$T$5,C23&gt;=$S$6,$T$6)</f>
        <v>0</v>
      </c>
      <c r="E23" s="143">
        <v>1.1000000000000001</v>
      </c>
      <c r="F23" s="210">
        <v>3.4</v>
      </c>
      <c r="G23" s="144" t="str">
        <f t="shared" ref="G23:G31" si="3">AD5</f>
        <v>主翼翼型1</v>
      </c>
      <c r="H23" s="49">
        <v>5.2103729276467297</v>
      </c>
      <c r="I23" s="49">
        <v>5.5657161949209319</v>
      </c>
      <c r="J23" s="49">
        <f t="shared" ref="J23:J30" si="4">_xlfn.SINGLE(_xlfn.XLOOKUP(C23,C$208:C$400,O$208:O$400))</f>
        <v>5.6814220816290515</v>
      </c>
      <c r="L23" s="2" t="s">
        <v>832</v>
      </c>
      <c r="M23" s="6" t="s">
        <v>818</v>
      </c>
      <c r="N23" s="204">
        <v>1200</v>
      </c>
      <c r="O23" s="6" t="s">
        <v>833</v>
      </c>
      <c r="S23" cm="1">
        <f t="array" ref="S23:T23">LINEST(E23:E24,C23:C24,TRUE,FALSE)</f>
        <v>-4.6601941747572845E-2</v>
      </c>
      <c r="T23">
        <v>1.2060194174757284</v>
      </c>
      <c r="U23" cm="1">
        <f t="array" ref="U23:V23">LINEST(F23:F24,$C23:$C24,TRUE,FALSE)</f>
        <v>0</v>
      </c>
      <c r="V23">
        <v>3.4</v>
      </c>
    </row>
    <row r="24" spans="2:22">
      <c r="B24" s="147" t="s">
        <v>808</v>
      </c>
      <c r="C24" s="49">
        <f t="shared" ref="C24:C31" si="5">Q6</f>
        <v>4.8499999999999996</v>
      </c>
      <c r="D24" s="144" cm="1">
        <f t="array" ref="D24">_xlfn.IFS(C24&lt;$S$5,0,AND(C24&gt;=$S$5,C24&lt;$S$6),$T$5,C24&gt;=$S$6,$T$6)</f>
        <v>0</v>
      </c>
      <c r="E24" s="143">
        <v>0.98</v>
      </c>
      <c r="F24" s="210">
        <v>3.4</v>
      </c>
      <c r="G24" s="144" t="str">
        <f t="shared" si="3"/>
        <v>主翼翼型2</v>
      </c>
      <c r="H24" s="49">
        <v>4.9205955712063485</v>
      </c>
      <c r="I24" s="49">
        <v>5.1431546166898139</v>
      </c>
      <c r="J24" s="49">
        <f t="shared" si="4"/>
        <v>5.196644135995351</v>
      </c>
      <c r="L24" s="2" t="s">
        <v>834</v>
      </c>
      <c r="M24" s="6" t="s">
        <v>835</v>
      </c>
      <c r="N24" s="196">
        <v>7.9423667590939679</v>
      </c>
      <c r="O24" s="6" t="s">
        <v>833</v>
      </c>
      <c r="S24" cm="1">
        <f t="array" ref="S24:T24">LINEST(E24:E25,C24:C25,TRUE,FALSE)</f>
        <v>-6.5454545454545418E-2</v>
      </c>
      <c r="T24">
        <v>1.2974545454545452</v>
      </c>
      <c r="U24" cm="1">
        <f t="array" ref="U24:V24">LINEST(F24:F25,$C24:$C25,TRUE,FALSE)</f>
        <v>0</v>
      </c>
      <c r="V24">
        <v>3.4</v>
      </c>
    </row>
    <row r="25" spans="2:22">
      <c r="B25" s="147" t="s">
        <v>809</v>
      </c>
      <c r="C25" s="49">
        <f t="shared" si="5"/>
        <v>7.6</v>
      </c>
      <c r="D25" s="144" cm="1">
        <f t="array" ref="D25">_xlfn.IFS(C25&lt;$S$5,0,AND(C25&gt;=$S$5,C25&lt;$S$6),$T$5,C25&gt;=$S$6,$T$6)</f>
        <v>6</v>
      </c>
      <c r="E25" s="143">
        <v>0.8</v>
      </c>
      <c r="F25" s="210">
        <v>3.4</v>
      </c>
      <c r="G25" s="144" t="str">
        <f t="shared" si="3"/>
        <v>主翼翼型2</v>
      </c>
      <c r="H25" s="49">
        <v>4.3194070100365556</v>
      </c>
      <c r="I25" s="49">
        <v>4.1895926771761145</v>
      </c>
      <c r="J25" s="49">
        <f t="shared" si="4"/>
        <v>4.1799667892181169</v>
      </c>
      <c r="L25" s="2" t="s">
        <v>836</v>
      </c>
      <c r="M25" s="6" t="s">
        <v>837</v>
      </c>
      <c r="N25" s="204">
        <v>3242.6040933009804</v>
      </c>
      <c r="O25" s="6" t="s">
        <v>782</v>
      </c>
      <c r="S25" cm="1">
        <f t="array" ref="S25:T25">LINEST(E25:E26,C25:C26,TRUE,FALSE)</f>
        <v>-0.11578947368421051</v>
      </c>
      <c r="T25">
        <v>1.6799999999999997</v>
      </c>
      <c r="U25" cm="1">
        <f t="array" ref="U25:V25">LINEST(F25:F26,$C25:$C26,TRUE,FALSE)</f>
        <v>0</v>
      </c>
      <c r="V25">
        <v>3.4</v>
      </c>
    </row>
    <row r="26" spans="2:22">
      <c r="B26" s="147" t="s">
        <v>810</v>
      </c>
      <c r="C26" s="49">
        <f t="shared" si="5"/>
        <v>8.5500000000000007</v>
      </c>
      <c r="D26" s="144" cm="1">
        <f t="array" ref="D26">_xlfn.IFS(C26&lt;$S$5,0,AND(C26&gt;=$S$5,C26&lt;$S$6),$T$5,C26&gt;=$S$6,$T$6)</f>
        <v>6</v>
      </c>
      <c r="E26" s="143">
        <v>0.69</v>
      </c>
      <c r="F26" s="210">
        <v>3.4</v>
      </c>
      <c r="G26" s="144" t="str">
        <f t="shared" si="3"/>
        <v>主翼翼型2</v>
      </c>
      <c r="H26" s="49">
        <v>4.0463774342795817</v>
      </c>
      <c r="I26" s="49">
        <v>3.8681511789206811</v>
      </c>
      <c r="J26" s="49">
        <f t="shared" si="4"/>
        <v>3.7860382604059595</v>
      </c>
      <c r="L26" s="2" t="s">
        <v>1159</v>
      </c>
      <c r="M26" s="6" t="s">
        <v>266</v>
      </c>
      <c r="N26" s="49">
        <v>0.96103218849193894</v>
      </c>
      <c r="O26" s="49"/>
      <c r="S26" cm="1">
        <f t="array" ref="S26:T26">LINEST(E26:E27,C26:C27,TRUE,FALSE)</f>
        <v>-1.4678899082568782E-2</v>
      </c>
      <c r="T26">
        <v>0.81550458715596297</v>
      </c>
      <c r="U26" cm="1">
        <f t="array" ref="U26:V26">LINEST(F26:F27,$C26:$C27,TRUE,FALSE)</f>
        <v>-0.22018348623853209</v>
      </c>
      <c r="V26">
        <v>5.2825688073394499</v>
      </c>
    </row>
    <row r="27" spans="2:22">
      <c r="B27" s="147" t="s">
        <v>811</v>
      </c>
      <c r="C27" s="49">
        <f t="shared" si="5"/>
        <v>11.275</v>
      </c>
      <c r="D27" s="144" cm="1">
        <f t="array" ref="D27">_xlfn.IFS(C27&lt;$S$5,0,AND(C27&gt;=$S$5,C27&lt;$S$6),$T$5,C27&gt;=$S$6,$T$6)</f>
        <v>6</v>
      </c>
      <c r="E27" s="143">
        <v>0.65</v>
      </c>
      <c r="F27" s="143">
        <v>2.8</v>
      </c>
      <c r="G27" s="144" t="str">
        <f t="shared" si="3"/>
        <v>主翼翼型3</v>
      </c>
      <c r="H27" s="49">
        <v>2.8124285812620351</v>
      </c>
      <c r="I27" s="49">
        <v>2.4194919404524011</v>
      </c>
      <c r="J27" s="49">
        <f t="shared" si="4"/>
        <v>2.4160560411518475</v>
      </c>
      <c r="L27" s="280" t="s">
        <v>1036</v>
      </c>
      <c r="M27" s="280"/>
      <c r="S27" cm="1">
        <f t="array" ref="S27:T27">LINEST(E27:E28,C27:C28,TRUE,FALSE)</f>
        <v>-0.16216216216216237</v>
      </c>
      <c r="T27">
        <v>2.4783783783783808</v>
      </c>
      <c r="U27" cm="1">
        <f t="array" ref="U27:V27">LINEST(F27:F28,$C27:$C28,TRUE,FALSE)</f>
        <v>-0.86486486486486569</v>
      </c>
      <c r="V27">
        <v>12.551351351351363</v>
      </c>
    </row>
    <row r="28" spans="2:22">
      <c r="B28" s="147" t="s">
        <v>812</v>
      </c>
      <c r="C28" s="49">
        <f t="shared" si="5"/>
        <v>12.2</v>
      </c>
      <c r="D28" s="144" cm="1">
        <f t="array" ref="D28">_xlfn.IFS(C28&lt;$S$5,0,AND(C28&gt;=$S$5,C28&lt;$S$6),$T$5,C28&gt;=$S$6,$T$6)</f>
        <v>6</v>
      </c>
      <c r="E28" s="143">
        <v>0.5</v>
      </c>
      <c r="F28" s="143">
        <v>2</v>
      </c>
      <c r="G28" s="144" t="str">
        <f t="shared" si="3"/>
        <v>主翼翼型3</v>
      </c>
      <c r="H28" s="49">
        <v>2.078247850846791</v>
      </c>
      <c r="I28" s="49">
        <v>1.7009570955979001</v>
      </c>
      <c r="J28" s="49">
        <f t="shared" si="4"/>
        <v>1.6377840401876136</v>
      </c>
      <c r="L28" s="2" t="s">
        <v>832</v>
      </c>
      <c r="M28" s="6" t="s">
        <v>818</v>
      </c>
      <c r="N28" s="208">
        <v>1216.1643094923861</v>
      </c>
      <c r="O28" s="49" t="s">
        <v>833</v>
      </c>
      <c r="S28" cm="1">
        <f t="array" ref="S28:T28">LINEST(E28:E29,C28:C29,TRUE,FALSE)</f>
        <v>-0.49999999999999878</v>
      </c>
      <c r="T28">
        <v>6.5999999999999845</v>
      </c>
      <c r="U28" cm="1">
        <f t="array" ref="U28:V28">LINEST(F28:F29,$C28:$C29,TRUE,FALSE)</f>
        <v>0</v>
      </c>
      <c r="V28">
        <v>2</v>
      </c>
    </row>
    <row r="29" spans="2:22">
      <c r="B29" s="147" t="s">
        <v>813</v>
      </c>
      <c r="C29" s="49">
        <f t="shared" si="5"/>
        <v>12.5</v>
      </c>
      <c r="D29" s="144" cm="1">
        <f t="array" ref="D29">_xlfn.IFS(C29&lt;$S$5,0,AND(C29&gt;=$S$5,C29&lt;$S$6),$T$5,C29&gt;=$S$6,$T$6)</f>
        <v>6</v>
      </c>
      <c r="E29" s="143">
        <v>0.35</v>
      </c>
      <c r="F29" s="143">
        <v>2</v>
      </c>
      <c r="G29" s="144" t="str">
        <f t="shared" si="3"/>
        <v>主翼翼型3</v>
      </c>
      <c r="H29" s="49">
        <v>1.7806835719877037</v>
      </c>
      <c r="I29" s="49">
        <v>1.4025037221235759</v>
      </c>
      <c r="J29" s="49">
        <f t="shared" si="4"/>
        <v>1.3135300247110773</v>
      </c>
      <c r="L29" s="2" t="s">
        <v>834</v>
      </c>
      <c r="M29" s="6" t="s">
        <v>835</v>
      </c>
      <c r="N29" s="208">
        <v>8.05908662992851</v>
      </c>
      <c r="O29" s="49" t="s">
        <v>833</v>
      </c>
      <c r="S29" cm="1">
        <f t="array" ref="S29:T29">LINEST(E29:E30,C29:C30,TRUE,FALSE)</f>
        <v>-0.3333333333333337</v>
      </c>
      <c r="T29">
        <v>4.5166666666666719</v>
      </c>
      <c r="U29" cm="1">
        <f t="array" ref="U29:V29">LINEST(F29:F30,$C29:$C30,TRUE,FALSE)</f>
        <v>-0.66666666666666763</v>
      </c>
      <c r="V29">
        <v>10.333333333333345</v>
      </c>
    </row>
    <row r="30" spans="2:22">
      <c r="B30" s="147" t="s">
        <v>814</v>
      </c>
      <c r="C30" s="49">
        <f t="shared" si="5"/>
        <v>12.95</v>
      </c>
      <c r="D30" s="144" cm="1">
        <f t="array" ref="D30">_xlfn.IFS(C30&lt;$S$5,0,AND(C30&gt;=$S$5,C30&lt;$S$6),$T$5,C30&gt;=$S$6,$T$6)</f>
        <v>12</v>
      </c>
      <c r="E30" s="143">
        <v>0.2</v>
      </c>
      <c r="F30" s="143">
        <v>1.7</v>
      </c>
      <c r="G30" s="144" t="str">
        <f t="shared" si="3"/>
        <v>主翼翼型3</v>
      </c>
      <c r="H30" s="49">
        <v>1.2024429102217498</v>
      </c>
      <c r="I30" s="49">
        <v>0.78998877568081027</v>
      </c>
      <c r="J30" s="49">
        <f t="shared" si="4"/>
        <v>0.74516353432589066</v>
      </c>
      <c r="L30" s="2" t="s">
        <v>375</v>
      </c>
      <c r="M30" s="6" t="s">
        <v>379</v>
      </c>
      <c r="N30" s="208">
        <v>1.6375193645767832</v>
      </c>
      <c r="O30" s="49"/>
      <c r="S30" cm="1">
        <f t="array" ref="S30:T30">LINEST(E30:E31,C30:C31,TRUE,FALSE)</f>
        <v>-0.16666666666666635</v>
      </c>
      <c r="T30">
        <v>2.358333333333329</v>
      </c>
      <c r="U30" cm="1">
        <f t="array" ref="U30:V30">LINEST(F30:F31,$C30:$C31,TRUE,FALSE)</f>
        <v>0</v>
      </c>
      <c r="V30">
        <v>1.7</v>
      </c>
    </row>
    <row r="31" spans="2:22">
      <c r="B31" s="147" t="s">
        <v>780</v>
      </c>
      <c r="C31" s="49">
        <f t="shared" si="5"/>
        <v>13.25</v>
      </c>
      <c r="D31" s="144" cm="1">
        <f t="array" ref="D31">_xlfn.IFS(C31&lt;$S$5,0,AND(C31&gt;=$S$5,C31&lt;$S$6),$T$5,C31&gt;=$S$6,$T$6)</f>
        <v>12</v>
      </c>
      <c r="E31" s="143">
        <v>0.15</v>
      </c>
      <c r="F31" s="143">
        <v>1.7</v>
      </c>
      <c r="G31" s="144" t="str">
        <f t="shared" si="3"/>
        <v>主翼翼型3</v>
      </c>
      <c r="H31" s="49">
        <v>0.5257271171804927</v>
      </c>
      <c r="I31" s="49">
        <v>-9.797228417210228E-3</v>
      </c>
      <c r="J31" s="49"/>
      <c r="L31" s="2" t="s">
        <v>1182</v>
      </c>
      <c r="M31" s="6" t="s">
        <v>1181</v>
      </c>
      <c r="N31" s="208">
        <v>18.092685479768861</v>
      </c>
      <c r="O31" s="49" t="s">
        <v>833</v>
      </c>
    </row>
    <row r="35" spans="2:22">
      <c r="B35" s="279" t="str">
        <f>B7</f>
        <v>case2</v>
      </c>
      <c r="C35" s="279"/>
      <c r="D35" s="279"/>
    </row>
    <row r="36" spans="2:22">
      <c r="B36" s="84"/>
      <c r="C36" s="84"/>
      <c r="D36" s="84"/>
    </row>
    <row r="37" spans="2:22">
      <c r="B37" s="84"/>
      <c r="C37" s="84"/>
      <c r="D37" s="84"/>
    </row>
    <row r="39" spans="2:22">
      <c r="B39" s="49"/>
      <c r="C39" s="147" t="s">
        <v>799</v>
      </c>
      <c r="D39" s="147" t="s">
        <v>800</v>
      </c>
      <c r="E39" s="147" t="s">
        <v>823</v>
      </c>
      <c r="F39" s="147" t="s">
        <v>824</v>
      </c>
      <c r="G39" s="147" t="s">
        <v>786</v>
      </c>
      <c r="H39" s="147" t="s">
        <v>825</v>
      </c>
      <c r="I39" s="147" t="s">
        <v>826</v>
      </c>
      <c r="J39" s="147" t="s">
        <v>827</v>
      </c>
      <c r="L39" s="279" t="s">
        <v>830</v>
      </c>
      <c r="M39" s="279"/>
    </row>
    <row r="40" spans="2:22" ht="19.5" thickBot="1">
      <c r="B40" s="73"/>
      <c r="C40" s="73" t="s">
        <v>789</v>
      </c>
      <c r="D40" s="73" t="s">
        <v>793</v>
      </c>
      <c r="E40" s="73" t="s">
        <v>789</v>
      </c>
      <c r="F40" s="73" t="s">
        <v>793</v>
      </c>
      <c r="G40" s="73"/>
      <c r="H40" s="159" t="s">
        <v>406</v>
      </c>
      <c r="I40" s="159" t="s">
        <v>406</v>
      </c>
      <c r="J40" s="159" t="s">
        <v>406</v>
      </c>
      <c r="L40" s="84"/>
      <c r="M40" s="84"/>
      <c r="S40" t="s">
        <v>997</v>
      </c>
      <c r="T40" t="s">
        <v>659</v>
      </c>
      <c r="U40" t="s">
        <v>824</v>
      </c>
      <c r="V40" t="s">
        <v>659</v>
      </c>
    </row>
    <row r="41" spans="2:22" ht="19.5" thickTop="1">
      <c r="B41" s="209" t="s">
        <v>806</v>
      </c>
      <c r="C41" s="144">
        <f>Q4</f>
        <v>0</v>
      </c>
      <c r="D41" s="144" cm="1">
        <f t="array" ref="D41">_xlfn.IFS(C41&lt;$S$5,0,AND(C41&gt;=$S$5,C41&lt;$S$6),$T$5,C41&gt;=$S$6,$T$6)</f>
        <v>0</v>
      </c>
      <c r="E41" s="210">
        <v>1.1000000000000001</v>
      </c>
      <c r="F41" s="210">
        <v>3.8</v>
      </c>
      <c r="G41" s="144" t="str">
        <f>AD4</f>
        <v>主翼翼型1</v>
      </c>
      <c r="H41" s="49">
        <v>4.7163995730098076</v>
      </c>
      <c r="I41" s="49">
        <v>5.6737157753744532</v>
      </c>
      <c r="J41" s="49">
        <f>_xlfn.XLOOKUP(C41,C$208:C$400,AA$208:AA$400)</f>
        <v>5.6200804234500685</v>
      </c>
      <c r="L41" s="2" t="s">
        <v>831</v>
      </c>
      <c r="M41" s="6" t="s">
        <v>379</v>
      </c>
      <c r="N41" s="196">
        <v>1.5234488889290358</v>
      </c>
      <c r="O41" s="6" t="s">
        <v>142</v>
      </c>
      <c r="S41" cm="1">
        <f t="array" ref="S41:T41">LINEST(E41:E42,$C$22:$C$23,TRUE,FALSE)</f>
        <v>0</v>
      </c>
      <c r="T41">
        <v>1.1000000000000001</v>
      </c>
      <c r="U41" cm="1">
        <f t="array" ref="U41:V41">LINEST(F41:F42,$C41:$C42,TRUE,FALSE)</f>
        <v>0</v>
      </c>
      <c r="V41">
        <v>3.8</v>
      </c>
    </row>
    <row r="42" spans="2:22">
      <c r="B42" s="147" t="s">
        <v>807</v>
      </c>
      <c r="C42" s="49">
        <f>Q5</f>
        <v>2.2749999999999999</v>
      </c>
      <c r="D42" s="144" cm="1">
        <f t="array" ref="D42">_xlfn.IFS(C42&lt;$S$5,0,AND(C42&gt;=$S$5,C42&lt;$S$6),$T$5,C42&gt;=$S$6,$T$6)</f>
        <v>0</v>
      </c>
      <c r="E42" s="143">
        <v>1.1000000000000001</v>
      </c>
      <c r="F42" s="210">
        <v>3.8</v>
      </c>
      <c r="G42" s="144" t="str">
        <f t="shared" ref="G42:G50" si="6">AD5</f>
        <v>主翼翼型1</v>
      </c>
      <c r="H42" s="49">
        <v>4.6434347305194565</v>
      </c>
      <c r="I42" s="49">
        <v>5.4079898780474096</v>
      </c>
      <c r="J42" s="49">
        <f t="shared" ref="J42:J49" si="7">_xlfn.SINGLE(_xlfn.XLOOKUP(C42,C$208:C$400,AA$208:AA$400))</f>
        <v>5.4474754395549079</v>
      </c>
      <c r="L42" s="2" t="s">
        <v>832</v>
      </c>
      <c r="M42" s="6" t="s">
        <v>818</v>
      </c>
      <c r="N42" s="204">
        <v>1182</v>
      </c>
      <c r="O42" s="6" t="s">
        <v>833</v>
      </c>
      <c r="S42" cm="1">
        <f t="array" ref="S42:T42">LINEST(E42:E43,C42:C43,TRUE,FALSE)</f>
        <v>-9.3203883495145676E-2</v>
      </c>
      <c r="T42">
        <v>1.3120388349514565</v>
      </c>
      <c r="U42" cm="1">
        <f t="array" ref="U42:V42">LINEST(F42:F43,$C42:$C43,TRUE,FALSE)</f>
        <v>0</v>
      </c>
      <c r="V42">
        <v>3.8</v>
      </c>
    </row>
    <row r="43" spans="2:22">
      <c r="B43" s="147" t="s">
        <v>808</v>
      </c>
      <c r="C43" s="144">
        <f t="shared" ref="C43:C50" si="8">Q6</f>
        <v>4.8499999999999996</v>
      </c>
      <c r="D43" s="144" cm="1">
        <f t="array" ref="D43">_xlfn.IFS(C43&lt;$S$5,0,AND(C43&gt;=$S$5,C43&lt;$S$6),$T$5,C43&gt;=$S$6,$T$6)</f>
        <v>0</v>
      </c>
      <c r="E43" s="143">
        <v>0.86</v>
      </c>
      <c r="F43" s="210">
        <v>3.8</v>
      </c>
      <c r="G43" s="144" t="str">
        <f t="shared" si="6"/>
        <v>主翼翼型2</v>
      </c>
      <c r="H43" s="49">
        <v>4.3851879102441345</v>
      </c>
      <c r="I43" s="49">
        <v>4.7257418805580969</v>
      </c>
      <c r="J43" s="49">
        <f t="shared" si="7"/>
        <v>4.6939654911044713</v>
      </c>
      <c r="L43" s="2" t="s">
        <v>834</v>
      </c>
      <c r="M43" s="6" t="s">
        <v>835</v>
      </c>
      <c r="N43" s="196">
        <v>6.5411691213999115</v>
      </c>
      <c r="O43" s="6" t="s">
        <v>833</v>
      </c>
      <c r="S43" cm="1">
        <f t="array" ref="S43:T43">LINEST(E43:E44,C43:C44,TRUE,FALSE)</f>
        <v>-5.0909090909090918E-2</v>
      </c>
      <c r="T43">
        <v>1.1069090909090908</v>
      </c>
      <c r="U43" cm="1">
        <f t="array" ref="U43:V43">LINEST(F43:F44,$C43:$C44,TRUE,FALSE)</f>
        <v>0</v>
      </c>
      <c r="V43">
        <v>3.8</v>
      </c>
    </row>
    <row r="44" spans="2:22">
      <c r="B44" s="147" t="s">
        <v>809</v>
      </c>
      <c r="C44" s="49">
        <f t="shared" si="8"/>
        <v>7.6</v>
      </c>
      <c r="D44" s="144" cm="1">
        <f t="array" ref="D44">_xlfn.IFS(C44&lt;$S$5,0,AND(C44&gt;=$S$5,C44&lt;$S$6),$T$5,C44&gt;=$S$6,$T$6)</f>
        <v>6</v>
      </c>
      <c r="E44" s="143">
        <v>0.72</v>
      </c>
      <c r="F44" s="210">
        <v>3.8</v>
      </c>
      <c r="G44" s="144" t="str">
        <f t="shared" si="6"/>
        <v>主翼翼型2</v>
      </c>
      <c r="H44" s="49">
        <v>3.8494143901349589</v>
      </c>
      <c r="I44" s="49">
        <v>3.5338458159792876</v>
      </c>
      <c r="J44" s="49">
        <f t="shared" si="7"/>
        <v>3.624730800285088</v>
      </c>
      <c r="L44" s="2" t="s">
        <v>836</v>
      </c>
      <c r="M44" s="6" t="s">
        <v>837</v>
      </c>
      <c r="N44" s="204">
        <v>2991.126169480463</v>
      </c>
      <c r="O44" s="6" t="s">
        <v>782</v>
      </c>
      <c r="S44" cm="1">
        <f t="array" ref="S44:T44">LINEST(E44:E45,C44:C45,TRUE,FALSE)</f>
        <v>-0.1473684210526314</v>
      </c>
      <c r="T44">
        <v>1.8399999999999983</v>
      </c>
      <c r="U44" cm="1">
        <f t="array" ref="U44:V44">LINEST(F44:F45,$C44:$C45,TRUE,FALSE)</f>
        <v>0</v>
      </c>
      <c r="V44">
        <v>3.8</v>
      </c>
    </row>
    <row r="45" spans="2:22">
      <c r="B45" s="147" t="s">
        <v>810</v>
      </c>
      <c r="C45" s="144">
        <f t="shared" si="8"/>
        <v>8.5500000000000007</v>
      </c>
      <c r="D45" s="144" cm="1">
        <f t="array" ref="D45">_xlfn.IFS(C45&lt;$S$5,0,AND(C45&gt;=$S$5,C45&lt;$S$6),$T$5,C45&gt;=$S$6,$T$6)</f>
        <v>6</v>
      </c>
      <c r="E45" s="143">
        <v>0.57999999999999996</v>
      </c>
      <c r="F45" s="210">
        <v>3.8</v>
      </c>
      <c r="G45" s="144" t="str">
        <f t="shared" si="6"/>
        <v>主翼翼型2</v>
      </c>
      <c r="H45" s="49">
        <v>3.6060930325020184</v>
      </c>
      <c r="I45" s="49">
        <v>3.1364376294592997</v>
      </c>
      <c r="J45" s="49">
        <f t="shared" si="7"/>
        <v>3.2021623238422587</v>
      </c>
      <c r="L45" s="2" t="s">
        <v>1159</v>
      </c>
      <c r="M45" s="6" t="s">
        <v>266</v>
      </c>
      <c r="N45" s="49">
        <v>0.90000000000000013</v>
      </c>
      <c r="O45" s="49"/>
      <c r="S45" cm="1">
        <f t="array" ref="S45:T45">LINEST(E45:E46,C45:C46,TRUE,FALSE)</f>
        <v>-1.4678899082568782E-2</v>
      </c>
      <c r="T45">
        <v>0.70550458715596309</v>
      </c>
      <c r="U45" cm="1">
        <f t="array" ref="U45:V45">LINEST(F45:F46,$C45:$C46,TRUE,FALSE)</f>
        <v>-0.47706422018348621</v>
      </c>
      <c r="V45">
        <v>7.8788990825688074</v>
      </c>
    </row>
    <row r="46" spans="2:22">
      <c r="B46" s="147" t="s">
        <v>811</v>
      </c>
      <c r="C46" s="49">
        <f t="shared" si="8"/>
        <v>11.275</v>
      </c>
      <c r="D46" s="144" cm="1">
        <f t="array" ref="D46">_xlfn.IFS(C46&lt;$S$5,0,AND(C46&gt;=$S$5,C46&lt;$S$6),$T$5,C46&gt;=$S$6,$T$6)</f>
        <v>6</v>
      </c>
      <c r="E46" s="143">
        <v>0.54</v>
      </c>
      <c r="F46" s="143">
        <v>2.5</v>
      </c>
      <c r="G46" s="144" t="str">
        <f t="shared" si="6"/>
        <v>主翼翼型3</v>
      </c>
      <c r="H46" s="49">
        <v>2.5064095665866182</v>
      </c>
      <c r="I46" s="49">
        <v>1.7227637483722291</v>
      </c>
      <c r="J46" s="49">
        <f t="shared" si="7"/>
        <v>1.7924015305513492</v>
      </c>
      <c r="L46" s="281" t="s">
        <v>1036</v>
      </c>
      <c r="M46" s="281"/>
      <c r="S46" cm="1">
        <f t="array" ref="S46:T46">LINEST(E46:E47,C46:C47,TRUE,FALSE)</f>
        <v>-0.1513513513513515</v>
      </c>
      <c r="T46">
        <v>2.2464864864864884</v>
      </c>
      <c r="U46" cm="1">
        <f t="array" ref="U46:V46">LINEST(F46:F47,$C46:$C47,TRUE,FALSE)</f>
        <v>-0.5405405405405409</v>
      </c>
      <c r="V46">
        <v>8.5945945945946001</v>
      </c>
    </row>
    <row r="47" spans="2:22">
      <c r="B47" s="147" t="s">
        <v>812</v>
      </c>
      <c r="C47" s="144">
        <f t="shared" si="8"/>
        <v>12.2</v>
      </c>
      <c r="D47" s="144" cm="1">
        <f t="array" ref="D47">_xlfn.IFS(C47&lt;$S$5,0,AND(C47&gt;=$S$5,C47&lt;$S$6),$T$5,C47&gt;=$S$6,$T$6)</f>
        <v>6</v>
      </c>
      <c r="E47" s="143">
        <v>0.4</v>
      </c>
      <c r="F47" s="143">
        <v>2</v>
      </c>
      <c r="G47" s="144" t="str">
        <f t="shared" si="6"/>
        <v>主翼翼型3</v>
      </c>
      <c r="H47" s="49">
        <v>1.8521146918379858</v>
      </c>
      <c r="I47" s="49">
        <v>1.1569237092346283</v>
      </c>
      <c r="J47" s="49">
        <f t="shared" si="7"/>
        <v>1.1976452560336603</v>
      </c>
      <c r="L47" s="2" t="s">
        <v>832</v>
      </c>
      <c r="M47" s="6" t="s">
        <v>818</v>
      </c>
      <c r="N47" s="208">
        <v>1207.0059978669503</v>
      </c>
      <c r="O47" s="49" t="s">
        <v>833</v>
      </c>
      <c r="S47" cm="1">
        <f t="array" ref="S47:T47">LINEST(E47:E48,C47:C48,TRUE,FALSE)</f>
        <v>-0.16666666666666635</v>
      </c>
      <c r="T47">
        <v>2.4333333333333296</v>
      </c>
      <c r="U47" cm="1">
        <f t="array" ref="U47:V47">LINEST(F47:F48,$C47:$C48,TRUE,FALSE)</f>
        <v>0</v>
      </c>
      <c r="V47">
        <v>2</v>
      </c>
    </row>
    <row r="48" spans="2:22">
      <c r="B48" s="147" t="s">
        <v>813</v>
      </c>
      <c r="C48" s="49">
        <f t="shared" si="8"/>
        <v>12.5</v>
      </c>
      <c r="D48" s="144" cm="1">
        <f t="array" ref="D48">_xlfn.IFS(C48&lt;$S$5,0,AND(C48&gt;=$S$5,C48&lt;$S$6),$T$5,C48&gt;=$S$6,$T$6)</f>
        <v>6</v>
      </c>
      <c r="E48" s="143">
        <v>0.35</v>
      </c>
      <c r="F48" s="143">
        <v>2</v>
      </c>
      <c r="G48" s="144" t="str">
        <f t="shared" si="6"/>
        <v>主翼翼型3</v>
      </c>
      <c r="H48" s="49">
        <v>1.586928240464281</v>
      </c>
      <c r="I48" s="49">
        <v>0.93694025489217647</v>
      </c>
      <c r="J48" s="49">
        <f t="shared" si="7"/>
        <v>0.98743047088842306</v>
      </c>
      <c r="L48" s="2" t="s">
        <v>834</v>
      </c>
      <c r="M48" s="6" t="s">
        <v>835</v>
      </c>
      <c r="N48" s="208">
        <v>6.6033831429211567</v>
      </c>
      <c r="O48" s="49" t="s">
        <v>833</v>
      </c>
      <c r="S48" cm="1">
        <f t="array" ref="S48:T48">LINEST(E48:E49,C48:C49,TRUE,FALSE)</f>
        <v>-0.3333333333333337</v>
      </c>
      <c r="T48">
        <v>4.5166666666666719</v>
      </c>
      <c r="U48" cm="1">
        <f t="array" ref="U48:V48">LINEST(F48:F49,$C48:$C49,TRUE,FALSE)</f>
        <v>-0.66666666666666763</v>
      </c>
      <c r="V48">
        <v>10.333333333333345</v>
      </c>
    </row>
    <row r="49" spans="2:22">
      <c r="B49" s="147" t="s">
        <v>814</v>
      </c>
      <c r="C49" s="144">
        <f t="shared" si="8"/>
        <v>12.95</v>
      </c>
      <c r="D49" s="144" cm="1">
        <f t="array" ref="D49">_xlfn.IFS(C49&lt;$S$5,0,AND(C49&gt;=$S$5,C49&lt;$S$6),$T$5,C49&gt;=$S$6,$T$6)</f>
        <v>12</v>
      </c>
      <c r="E49" s="143">
        <v>0.2</v>
      </c>
      <c r="F49" s="143">
        <v>1.7</v>
      </c>
      <c r="G49" s="144" t="str">
        <f t="shared" si="6"/>
        <v>主翼翼型3</v>
      </c>
      <c r="H49" s="49">
        <v>1.0716056697523839</v>
      </c>
      <c r="I49" s="49">
        <v>0.50793390541293637</v>
      </c>
      <c r="J49" s="49">
        <f t="shared" si="7"/>
        <v>0.65704522464746506</v>
      </c>
      <c r="L49" s="2" t="s">
        <v>375</v>
      </c>
      <c r="M49" s="6" t="s">
        <v>379</v>
      </c>
      <c r="N49" s="208">
        <v>1.6064595616872186</v>
      </c>
      <c r="O49" s="49"/>
      <c r="S49" cm="1">
        <f t="array" ref="S49:T49">LINEST(E49:E50,C49:C50,TRUE,FALSE)</f>
        <v>-0.16666666666666635</v>
      </c>
      <c r="T49">
        <v>2.358333333333329</v>
      </c>
      <c r="U49" cm="1">
        <f t="array" ref="U49:V49">LINEST(F49:F50,$C49:$C50,TRUE,FALSE)</f>
        <v>0</v>
      </c>
      <c r="V49">
        <v>1.7</v>
      </c>
    </row>
    <row r="50" spans="2:22">
      <c r="B50" s="147" t="s">
        <v>780</v>
      </c>
      <c r="C50" s="49">
        <f t="shared" si="8"/>
        <v>13.25</v>
      </c>
      <c r="D50" s="144" cm="1">
        <f t="array" ref="D50">_xlfn.IFS(C50&lt;$S$5,0,AND(C50&gt;=$S$5,C50&lt;$S$6),$T$5,C50&gt;=$S$6,$T$6)</f>
        <v>12</v>
      </c>
      <c r="E50" s="143">
        <v>0.15</v>
      </c>
      <c r="F50" s="143">
        <v>1.7</v>
      </c>
      <c r="G50" s="144" t="str">
        <f t="shared" si="6"/>
        <v>主翼翼型3</v>
      </c>
      <c r="H50" s="49">
        <v>0.46852299990632973</v>
      </c>
      <c r="I50" s="49">
        <v>1.1982751053073747E-2</v>
      </c>
      <c r="J50" s="49"/>
      <c r="L50" s="2" t="s">
        <v>1182</v>
      </c>
      <c r="M50" s="6" t="s">
        <v>1181</v>
      </c>
      <c r="N50" s="208">
        <v>17.258187253131705</v>
      </c>
      <c r="O50" s="49" t="s">
        <v>833</v>
      </c>
    </row>
    <row r="55" spans="2:22">
      <c r="B55" s="279" t="s">
        <v>1042</v>
      </c>
      <c r="C55" s="279"/>
      <c r="D55" s="279"/>
    </row>
    <row r="56" spans="2:22">
      <c r="B56" s="84"/>
      <c r="C56" s="84"/>
      <c r="D56" s="84"/>
    </row>
    <row r="57" spans="2:22">
      <c r="B57" s="84"/>
      <c r="C57" s="84"/>
      <c r="D57" s="84"/>
    </row>
    <row r="59" spans="2:22">
      <c r="B59" s="49"/>
      <c r="C59" s="147" t="s">
        <v>799</v>
      </c>
      <c r="D59" s="147" t="s">
        <v>800</v>
      </c>
      <c r="E59" s="147" t="s">
        <v>823</v>
      </c>
      <c r="F59" s="147" t="s">
        <v>824</v>
      </c>
      <c r="G59" s="147" t="s">
        <v>786</v>
      </c>
      <c r="H59" s="147" t="s">
        <v>825</v>
      </c>
      <c r="I59" s="147" t="s">
        <v>826</v>
      </c>
      <c r="J59" s="147" t="s">
        <v>827</v>
      </c>
      <c r="L59" s="279" t="s">
        <v>830</v>
      </c>
      <c r="M59" s="279"/>
    </row>
    <row r="60" spans="2:22" ht="19.5" thickBot="1">
      <c r="B60" s="73"/>
      <c r="C60" s="73" t="s">
        <v>789</v>
      </c>
      <c r="D60" s="73" t="s">
        <v>793</v>
      </c>
      <c r="E60" s="73" t="s">
        <v>789</v>
      </c>
      <c r="F60" s="73" t="s">
        <v>793</v>
      </c>
      <c r="G60" s="73"/>
      <c r="H60" s="159" t="s">
        <v>406</v>
      </c>
      <c r="I60" s="159" t="s">
        <v>406</v>
      </c>
      <c r="J60" s="159" t="s">
        <v>406</v>
      </c>
      <c r="L60" s="84"/>
      <c r="M60" s="84"/>
      <c r="S60" t="s">
        <v>997</v>
      </c>
      <c r="T60" t="s">
        <v>659</v>
      </c>
      <c r="U60" t="s">
        <v>824</v>
      </c>
      <c r="V60" t="s">
        <v>659</v>
      </c>
    </row>
    <row r="61" spans="2:22" ht="19.5" thickTop="1">
      <c r="B61" s="209" t="s">
        <v>806</v>
      </c>
      <c r="C61" s="144">
        <f>Q4</f>
        <v>0</v>
      </c>
      <c r="D61" s="144">
        <f>D41</f>
        <v>0</v>
      </c>
      <c r="E61" s="210">
        <v>1.1000000000000001</v>
      </c>
      <c r="F61" s="210">
        <v>4</v>
      </c>
      <c r="G61" s="144" t="str">
        <f>AD4</f>
        <v>主翼翼型1</v>
      </c>
      <c r="H61" s="49">
        <v>4.3718557066080752</v>
      </c>
      <c r="I61" s="49">
        <v>5.301767875461648</v>
      </c>
      <c r="J61" s="49">
        <f>_xlfn.XLOOKUP(C41,C$208:C$400,AM$208:AM$400)</f>
        <v>5.2125551028317867</v>
      </c>
      <c r="L61" s="2" t="s">
        <v>831</v>
      </c>
      <c r="M61" s="6" t="s">
        <v>379</v>
      </c>
      <c r="N61" s="196">
        <v>1.7287218622292113</v>
      </c>
      <c r="O61" s="6" t="s">
        <v>142</v>
      </c>
      <c r="S61" cm="1">
        <f t="array" ref="S61:T61">LINEST(E61:E62,$C$22:$C$23,TRUE,FALSE)</f>
        <v>0</v>
      </c>
      <c r="T61">
        <v>1.1000000000000001</v>
      </c>
      <c r="U61" cm="1">
        <f t="array" ref="U61:V61">LINEST(F61:F62,$C61:$C62,TRUE,FALSE)</f>
        <v>0</v>
      </c>
      <c r="V61">
        <v>4</v>
      </c>
    </row>
    <row r="62" spans="2:22">
      <c r="B62" s="147" t="s">
        <v>807</v>
      </c>
      <c r="C62" s="144">
        <f t="shared" ref="C62:C70" si="9">Q5</f>
        <v>2.2749999999999999</v>
      </c>
      <c r="D62" s="144">
        <f t="shared" ref="D62:D70" si="10">D42</f>
        <v>0</v>
      </c>
      <c r="E62" s="143">
        <v>1.1000000000000001</v>
      </c>
      <c r="F62" s="210">
        <v>4</v>
      </c>
      <c r="G62" s="144" t="str">
        <f t="shared" ref="G62:G70" si="11">AD5</f>
        <v>主翼翼型1</v>
      </c>
      <c r="H62" s="49">
        <v>4.3042211141429512</v>
      </c>
      <c r="I62" s="49">
        <v>5.0483690609398977</v>
      </c>
      <c r="J62" s="49">
        <f t="shared" ref="J62:J69" si="12">_xlfn.SINGLE(_xlfn.XLOOKUP(C42,C$208:C$400,AM$208:AM$400))</f>
        <v>5.0715939598544164</v>
      </c>
      <c r="L62" s="2" t="s">
        <v>832</v>
      </c>
      <c r="M62" s="6" t="s">
        <v>818</v>
      </c>
      <c r="N62" s="204">
        <v>1200</v>
      </c>
      <c r="O62" s="6" t="s">
        <v>833</v>
      </c>
      <c r="S62" cm="1">
        <f t="array" ref="S62:T62">LINEST(E62:E63,C62:C63,TRUE,FALSE)</f>
        <v>-8.9320388349514612E-2</v>
      </c>
      <c r="T62">
        <v>1.3032038834951458</v>
      </c>
      <c r="U62" cm="1">
        <f t="array" ref="U62:V62">LINEST(F62:F63,$C62:$C63,TRUE,FALSE)</f>
        <v>-7.7669902912621436E-2</v>
      </c>
      <c r="V62">
        <v>4.1766990291262136</v>
      </c>
    </row>
    <row r="63" spans="2:22">
      <c r="B63" s="147" t="s">
        <v>808</v>
      </c>
      <c r="C63" s="144">
        <f t="shared" si="9"/>
        <v>4.8499999999999996</v>
      </c>
      <c r="D63" s="144">
        <f t="shared" si="10"/>
        <v>0</v>
      </c>
      <c r="E63" s="143">
        <v>0.87</v>
      </c>
      <c r="F63" s="210">
        <v>3.8</v>
      </c>
      <c r="G63" s="144" t="str">
        <f t="shared" si="11"/>
        <v>主翼翼型2</v>
      </c>
      <c r="H63" s="49">
        <v>4.0648398196922004</v>
      </c>
      <c r="I63" s="49">
        <v>4.3521288414360049</v>
      </c>
      <c r="J63" s="49">
        <f t="shared" si="12"/>
        <v>4.3211973761438225</v>
      </c>
      <c r="L63" s="2" t="s">
        <v>834</v>
      </c>
      <c r="M63" s="6" t="s">
        <v>835</v>
      </c>
      <c r="N63" s="196">
        <v>4.9530030845540445</v>
      </c>
      <c r="O63" s="6" t="s">
        <v>833</v>
      </c>
      <c r="S63" cm="1">
        <f t="array" ref="S63:T63">LINEST(E63:E64,C63:C64,TRUE,FALSE)</f>
        <v>-5.8181818181818203E-2</v>
      </c>
      <c r="T63">
        <v>1.1521818181818184</v>
      </c>
      <c r="U63" cm="1">
        <f t="array" ref="U63:V63">LINEST(F63:F64,$C63:$C64,TRUE,FALSE)</f>
        <v>0</v>
      </c>
      <c r="V63">
        <v>3.8</v>
      </c>
    </row>
    <row r="64" spans="2:22">
      <c r="B64" s="147" t="s">
        <v>809</v>
      </c>
      <c r="C64" s="144">
        <f t="shared" si="9"/>
        <v>7.6</v>
      </c>
      <c r="D64" s="144">
        <f t="shared" si="10"/>
        <v>6</v>
      </c>
      <c r="E64" s="143">
        <v>0.71</v>
      </c>
      <c r="F64" s="210">
        <v>3.8</v>
      </c>
      <c r="G64" s="144" t="str">
        <f t="shared" si="11"/>
        <v>主翼翼型2</v>
      </c>
      <c r="H64" s="49">
        <v>3.5682057908997624</v>
      </c>
      <c r="I64" s="49">
        <v>3.2842939184829687</v>
      </c>
      <c r="J64" s="49">
        <f t="shared" si="12"/>
        <v>3.3866655754158574</v>
      </c>
      <c r="L64" s="2" t="s">
        <v>836</v>
      </c>
      <c r="M64" s="6" t="s">
        <v>837</v>
      </c>
      <c r="N64" s="204">
        <v>3002.9354662578817</v>
      </c>
      <c r="O64" s="6" t="s">
        <v>782</v>
      </c>
      <c r="S64" cm="1">
        <f t="array" ref="S64:T64">LINEST(E64:E65,C64:C65,TRUE,FALSE)</f>
        <v>-7.3684210526315658E-2</v>
      </c>
      <c r="T64">
        <v>1.2699999999999989</v>
      </c>
      <c r="U64" cm="1">
        <f t="array" ref="U64:V64">LINEST(F64:F65,$C64:$C65,TRUE,FALSE)</f>
        <v>0</v>
      </c>
      <c r="V64">
        <v>3.8</v>
      </c>
    </row>
    <row r="65" spans="2:22">
      <c r="B65" s="147" t="s">
        <v>810</v>
      </c>
      <c r="C65" s="144">
        <f t="shared" si="9"/>
        <v>8.5500000000000007</v>
      </c>
      <c r="D65" s="144">
        <f t="shared" si="10"/>
        <v>6</v>
      </c>
      <c r="E65" s="143">
        <v>0.64</v>
      </c>
      <c r="F65" s="210">
        <v>3.8</v>
      </c>
      <c r="G65" s="144" t="str">
        <f t="shared" si="11"/>
        <v>主翼翼型2</v>
      </c>
      <c r="H65" s="49">
        <v>3.3426596196222635</v>
      </c>
      <c r="I65" s="49">
        <v>2.8634285362812899</v>
      </c>
      <c r="J65" s="49">
        <f t="shared" si="12"/>
        <v>2.9871006692315341</v>
      </c>
      <c r="L65" s="2" t="s">
        <v>1159</v>
      </c>
      <c r="M65" s="6" t="s">
        <v>266</v>
      </c>
      <c r="N65" s="49">
        <v>0.89000000000000012</v>
      </c>
      <c r="O65" s="49"/>
      <c r="S65" cm="1">
        <f t="array" ref="S65:T65">LINEST(E65:E66,C65:C66,TRUE,FALSE)</f>
        <v>-3.3027522935779804E-2</v>
      </c>
      <c r="T65">
        <v>0.92238532110091731</v>
      </c>
      <c r="U65" cm="1">
        <f t="array" ref="U65:V65">LINEST(F65:F66,$C65:$C66,TRUE,FALSE)</f>
        <v>-0.47706422018348621</v>
      </c>
      <c r="V65">
        <v>7.8788990825688074</v>
      </c>
    </row>
    <row r="66" spans="2:22">
      <c r="B66" s="147" t="s">
        <v>811</v>
      </c>
      <c r="C66" s="144">
        <f t="shared" si="9"/>
        <v>11.275</v>
      </c>
      <c r="D66" s="144">
        <f t="shared" si="10"/>
        <v>6</v>
      </c>
      <c r="E66" s="143">
        <v>0.55000000000000004</v>
      </c>
      <c r="F66" s="143">
        <v>2.5</v>
      </c>
      <c r="G66" s="144" t="str">
        <f t="shared" si="11"/>
        <v>主翼翼型3</v>
      </c>
      <c r="H66" s="49">
        <v>2.3233105671295067</v>
      </c>
      <c r="I66" s="49">
        <v>1.5595548949911806</v>
      </c>
      <c r="J66" s="49">
        <f t="shared" si="12"/>
        <v>1.5273950602042372</v>
      </c>
      <c r="L66" s="281" t="s">
        <v>1036</v>
      </c>
      <c r="M66" s="281"/>
      <c r="S66" cm="1">
        <f t="array" ref="S66:T66">LINEST(E66:E67,C66:C67,TRUE,FALSE)</f>
        <v>-0.18378378378378402</v>
      </c>
      <c r="T66">
        <v>2.6221621621621649</v>
      </c>
      <c r="U66" cm="1">
        <f t="array" ref="U66:V66">LINEST(F66:F67,$C66:$C67,TRUE,FALSE)</f>
        <v>-0.5405405405405409</v>
      </c>
      <c r="V66">
        <v>8.5945945945946001</v>
      </c>
    </row>
    <row r="67" spans="2:22">
      <c r="B67" s="147" t="s">
        <v>812</v>
      </c>
      <c r="C67" s="144">
        <f t="shared" si="9"/>
        <v>12.2</v>
      </c>
      <c r="D67" s="144">
        <f t="shared" si="10"/>
        <v>6</v>
      </c>
      <c r="E67" s="143">
        <v>0.38</v>
      </c>
      <c r="F67" s="143">
        <v>2</v>
      </c>
      <c r="G67" s="144" t="str">
        <f t="shared" si="11"/>
        <v>主翼翼型3</v>
      </c>
      <c r="H67" s="49">
        <v>1.7168134420038703</v>
      </c>
      <c r="I67" s="49">
        <v>1.0513891084135181</v>
      </c>
      <c r="J67" s="49">
        <f t="shared" si="12"/>
        <v>0.94833875649054877</v>
      </c>
      <c r="L67" s="2" t="s">
        <v>832</v>
      </c>
      <c r="M67" s="6" t="s">
        <v>818</v>
      </c>
      <c r="N67" s="208">
        <v>1217.169006912387</v>
      </c>
      <c r="O67" s="49" t="s">
        <v>833</v>
      </c>
      <c r="S67" cm="1">
        <f t="array" ref="S67:T67">LINEST(E67:E68,C67:C68,TRUE,FALSE)</f>
        <v>-9.9999999999999825E-2</v>
      </c>
      <c r="T67">
        <v>1.5999999999999979</v>
      </c>
      <c r="U67" cm="1">
        <f t="array" ref="U67:V67">LINEST(F67:F68,$C67:$C68,TRUE,FALSE)</f>
        <v>0</v>
      </c>
      <c r="V67">
        <v>2</v>
      </c>
    </row>
    <row r="68" spans="2:22">
      <c r="B68" s="147" t="s">
        <v>813</v>
      </c>
      <c r="C68" s="144">
        <f t="shared" si="9"/>
        <v>12.5</v>
      </c>
      <c r="D68" s="144">
        <f t="shared" si="10"/>
        <v>6</v>
      </c>
      <c r="E68" s="143">
        <v>0.35</v>
      </c>
      <c r="F68" s="143">
        <v>2</v>
      </c>
      <c r="G68" s="144" t="str">
        <f t="shared" si="11"/>
        <v>主翼翼型3</v>
      </c>
      <c r="H68" s="49">
        <v>1.4709994725115811</v>
      </c>
      <c r="I68" s="49">
        <v>0.87019490660345367</v>
      </c>
      <c r="J68" s="49">
        <f t="shared" si="12"/>
        <v>0.76155316652362048</v>
      </c>
      <c r="L68" s="2" t="s">
        <v>834</v>
      </c>
      <c r="M68" s="6" t="s">
        <v>835</v>
      </c>
      <c r="N68" s="208">
        <v>5.6913586610099687</v>
      </c>
      <c r="O68" s="49" t="s">
        <v>833</v>
      </c>
      <c r="S68" cm="1">
        <f t="array" ref="S68:T68">LINEST(E68:E69,C68:C69,TRUE,FALSE)</f>
        <v>-0.3333333333333337</v>
      </c>
      <c r="T68">
        <v>4.5166666666666719</v>
      </c>
      <c r="U68" cm="1">
        <f t="array" ref="U68:V68">LINEST(F68:F69,$C68:$C69,TRUE,FALSE)</f>
        <v>-0.66666666666666763</v>
      </c>
      <c r="V68">
        <v>10.333333333333345</v>
      </c>
    </row>
    <row r="69" spans="2:22">
      <c r="B69" s="147" t="s">
        <v>814</v>
      </c>
      <c r="C69" s="144">
        <f t="shared" si="9"/>
        <v>12.95</v>
      </c>
      <c r="D69" s="144">
        <f t="shared" si="10"/>
        <v>12</v>
      </c>
      <c r="E69" s="143">
        <v>0.2</v>
      </c>
      <c r="F69" s="143">
        <v>1.7</v>
      </c>
      <c r="G69" s="144" t="str">
        <f t="shared" si="11"/>
        <v>主翼翼型3</v>
      </c>
      <c r="H69" s="49">
        <v>0.99332240409622796</v>
      </c>
      <c r="I69" s="49">
        <v>0.55492429128448317</v>
      </c>
      <c r="J69" s="49">
        <f t="shared" si="12"/>
        <v>0.49170053439862771</v>
      </c>
      <c r="L69" s="2" t="s">
        <v>375</v>
      </c>
      <c r="M69" s="6" t="s">
        <v>379</v>
      </c>
      <c r="N69" s="208">
        <v>1.5788397328873811</v>
      </c>
      <c r="O69" s="49"/>
      <c r="S69" cm="1">
        <f t="array" ref="S69:T69">LINEST(E69:E70,C69:C70,TRUE,FALSE)</f>
        <v>-0.16666666666666635</v>
      </c>
      <c r="T69">
        <v>2.358333333333329</v>
      </c>
      <c r="U69" cm="1">
        <f t="array" ref="U69:V69">LINEST(F69:F70,$C69:$C70,TRUE,FALSE)</f>
        <v>0</v>
      </c>
      <c r="V69">
        <v>1.7</v>
      </c>
    </row>
    <row r="70" spans="2:22">
      <c r="B70" s="147" t="s">
        <v>780</v>
      </c>
      <c r="C70" s="144">
        <f t="shared" si="9"/>
        <v>13.25</v>
      </c>
      <c r="D70" s="144">
        <f t="shared" si="10"/>
        <v>12</v>
      </c>
      <c r="E70" s="143">
        <v>0.15</v>
      </c>
      <c r="F70" s="143">
        <v>1.7</v>
      </c>
      <c r="G70" s="144" t="str">
        <f t="shared" si="11"/>
        <v>主翼翼型3</v>
      </c>
      <c r="H70" s="49">
        <v>0.43429631419258102</v>
      </c>
      <c r="I70" s="49">
        <v>0.23264219705069217</v>
      </c>
      <c r="J70" s="49"/>
      <c r="L70" s="2" t="s">
        <v>1182</v>
      </c>
      <c r="M70" s="6" t="s">
        <v>1181</v>
      </c>
      <c r="N70" s="208">
        <v>18.086847862197331</v>
      </c>
      <c r="O70" s="49" t="s">
        <v>833</v>
      </c>
    </row>
    <row r="203" spans="2:41">
      <c r="B203" t="s">
        <v>1038</v>
      </c>
    </row>
    <row r="204" spans="2:41">
      <c r="B204" t="s">
        <v>816</v>
      </c>
      <c r="C204">
        <f>MATCH(0,B209:B323, 0) - 1</f>
        <v>87</v>
      </c>
      <c r="F204" t="s">
        <v>1040</v>
      </c>
      <c r="R204" t="s">
        <v>1041</v>
      </c>
    </row>
    <row r="206" spans="2:41">
      <c r="B206" s="207" t="s">
        <v>958</v>
      </c>
      <c r="C206" s="207" t="s">
        <v>996</v>
      </c>
      <c r="D206" s="207" t="s">
        <v>887</v>
      </c>
      <c r="E206" s="207" t="s">
        <v>99</v>
      </c>
      <c r="F206" s="242" t="s">
        <v>823</v>
      </c>
      <c r="G206" s="243" t="s">
        <v>824</v>
      </c>
      <c r="H206" s="243" t="s">
        <v>999</v>
      </c>
      <c r="I206" s="243" t="s">
        <v>1000</v>
      </c>
      <c r="J206" s="243" t="s">
        <v>1001</v>
      </c>
      <c r="K206" s="243" t="s">
        <v>1002</v>
      </c>
      <c r="L206" s="243" t="s">
        <v>1003</v>
      </c>
      <c r="M206" s="243" t="s">
        <v>1026</v>
      </c>
      <c r="N206" s="243" t="s">
        <v>800</v>
      </c>
      <c r="O206" s="243" t="s">
        <v>1027</v>
      </c>
      <c r="P206" s="243" t="s">
        <v>538</v>
      </c>
      <c r="Q206" s="211" t="s">
        <v>1037</v>
      </c>
      <c r="R206" s="246" t="s">
        <v>823</v>
      </c>
      <c r="S206" s="247" t="s">
        <v>824</v>
      </c>
      <c r="T206" s="247" t="s">
        <v>999</v>
      </c>
      <c r="U206" s="247" t="s">
        <v>1000</v>
      </c>
      <c r="V206" s="247" t="s">
        <v>1001</v>
      </c>
      <c r="W206" s="247" t="s">
        <v>1002</v>
      </c>
      <c r="X206" s="247" t="s">
        <v>1003</v>
      </c>
      <c r="Y206" s="247" t="s">
        <v>1026</v>
      </c>
      <c r="Z206" s="247" t="s">
        <v>800</v>
      </c>
      <c r="AA206" s="247" t="s">
        <v>1027</v>
      </c>
      <c r="AB206" s="247" t="s">
        <v>538</v>
      </c>
      <c r="AC206" s="211" t="s">
        <v>1037</v>
      </c>
      <c r="AD206" s="246" t="s">
        <v>823</v>
      </c>
      <c r="AE206" s="247" t="s">
        <v>824</v>
      </c>
      <c r="AF206" s="247" t="s">
        <v>999</v>
      </c>
      <c r="AG206" s="247" t="s">
        <v>1000</v>
      </c>
      <c r="AH206" s="247" t="s">
        <v>1001</v>
      </c>
      <c r="AI206" s="247" t="s">
        <v>1002</v>
      </c>
      <c r="AJ206" s="247" t="s">
        <v>1003</v>
      </c>
      <c r="AK206" s="247" t="s">
        <v>1026</v>
      </c>
      <c r="AL206" s="247" t="s">
        <v>800</v>
      </c>
      <c r="AM206" s="247" t="s">
        <v>1027</v>
      </c>
      <c r="AN206" s="247" t="s">
        <v>538</v>
      </c>
      <c r="AO206" s="211" t="s">
        <v>1037</v>
      </c>
    </row>
    <row r="207" spans="2:41">
      <c r="B207" s="207"/>
      <c r="C207" s="207" t="s">
        <v>145</v>
      </c>
      <c r="D207" s="207" t="s">
        <v>145</v>
      </c>
      <c r="E207" s="207" t="s">
        <v>833</v>
      </c>
      <c r="F207" s="242" t="s">
        <v>145</v>
      </c>
      <c r="G207" s="243" t="s">
        <v>148</v>
      </c>
      <c r="H207" s="243"/>
      <c r="I207" s="243"/>
      <c r="J207" s="243"/>
      <c r="K207" s="243"/>
      <c r="L207" s="243"/>
      <c r="M207" s="243" t="s">
        <v>148</v>
      </c>
      <c r="N207" s="243" t="s">
        <v>148</v>
      </c>
      <c r="O207" s="243" t="s">
        <v>280</v>
      </c>
      <c r="P207" s="243" t="s">
        <v>145</v>
      </c>
      <c r="Q207" s="211" t="s">
        <v>145</v>
      </c>
      <c r="R207" s="242" t="s">
        <v>145</v>
      </c>
      <c r="S207" s="243" t="s">
        <v>148</v>
      </c>
      <c r="T207" s="243"/>
      <c r="U207" s="243"/>
      <c r="V207" s="243"/>
      <c r="W207" s="243"/>
      <c r="X207" s="243"/>
      <c r="Y207" s="243" t="s">
        <v>148</v>
      </c>
      <c r="Z207" s="243" t="s">
        <v>148</v>
      </c>
      <c r="AA207" s="243" t="s">
        <v>280</v>
      </c>
      <c r="AB207" s="243" t="s">
        <v>145</v>
      </c>
      <c r="AC207" s="211" t="s">
        <v>145</v>
      </c>
      <c r="AD207" s="242" t="s">
        <v>145</v>
      </c>
      <c r="AE207" s="243" t="s">
        <v>148</v>
      </c>
      <c r="AF207" s="243"/>
      <c r="AG207" s="243"/>
      <c r="AH207" s="243"/>
      <c r="AI207" s="243"/>
      <c r="AJ207" s="243"/>
      <c r="AK207" s="243" t="s">
        <v>148</v>
      </c>
      <c r="AL207" s="243" t="s">
        <v>148</v>
      </c>
      <c r="AM207" s="243" t="s">
        <v>280</v>
      </c>
      <c r="AN207" s="243" t="s">
        <v>145</v>
      </c>
      <c r="AO207" s="211" t="s">
        <v>145</v>
      </c>
    </row>
    <row r="208" spans="2:41">
      <c r="B208">
        <f>'主翼(型紙出力)'!B51</f>
        <v>0</v>
      </c>
      <c r="C208">
        <f>INT(('主翼(型紙出力)'!C51)*1000)/1000</f>
        <v>0</v>
      </c>
      <c r="D208">
        <f>'主翼(型紙出力)'!E51</f>
        <v>0.15</v>
      </c>
      <c r="E208">
        <f>'主翼(重量推算)'!CE48</f>
        <v>4.0709865684156323</v>
      </c>
      <c r="F208" s="244" cm="1">
        <f t="array" ref="F208">_xlfn.SWITCH(TRUE,
  $C208&lt;$Q$5,  $S$22*$C208+$T$22,
  $C208&lt;$Q$6,  $S$23*$C208+$T$23,
  $C208&lt;$Q$7,  $S$24*$C208+$T$24,
  $C208&lt;$Q$8, $S$25*$C208+$T$25,
  $C208&lt;$Q$9, $S$26*$C208+$T$26,
  $C208&lt;$Q$10, $S$27*$C208+$T$27,
  $C208&lt;$Q$11,  $S$28*$C208+$T$28,
  $C208&lt;$Q$12, $S$29*$C208+$T$29,
  $S$30*$C208+$T$30
)</f>
        <v>1.1000000000000001</v>
      </c>
      <c r="G208" cm="1">
        <f t="array" ref="G208">_xlfn.SWITCH(TRUE,
  $C208&lt;$Q$5,  $U$22*$C208+$V$22,
  $C208&lt;$Q$6,  $U$23*$C208+$V$23,
  $C208&lt;$Q$7,  $U$24*$C208+$V$24,
  $C208&lt;$Q$8, $U$25*$C208+$V$25,
  $C208&lt;$Q$9, $U$26*$C208+$V$26,
  $C208&lt;$Q$10, $U$27*$C208+$V$27,
  $C208&lt;$Q$11,  $U$28*$C208+$V$28,
  $C208&lt;$Q$12, $U$29*$C208+$V$29,
  $U$30*$C208+$V$30
)</f>
        <v>3.4</v>
      </c>
      <c r="H208" cm="1">
        <f t="array" ref="H208">_xlfn.LET(
  _xlpm.y,$C208,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08" cm="1">
        <f t="array" ref="I208">_xlfn.LET(
  _xlpm.y,$C208,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08" cm="1">
        <f t="array" ref="J208">_xlfn.LET(
  _xlpm.y,$C208,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08" cm="1">
        <f t="array" ref="K208">_xlfn.LET(
  _xlpm.y,$C208,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08" cm="1">
        <f t="array" ref="L208">_xlfn.LET(
  _xlpm.y,$C208,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08" cm="1">
        <f t="array" ref="M208">_xlfn.SWITCH(TRUE,
  $C208&lt;$Q$5,  $D$22,
  $C208&lt;$Q$6,  $D$23,
  $C208&lt;$Q$7,  $D$24,
  $C208&lt;$Q$8,  $D$25,
  $C208&lt;$Q$9,  $D$26,
  $C208&lt;$Q$10,  $D$27,
  $C208&lt;$Q$11,  $D$28,
  $C208&lt;$Q$12,  $D$29,
  $C208&lt;$Q$13,  $D$30,
  $C208&lt;100,  $D$31,
)</f>
        <v>0</v>
      </c>
      <c r="N208">
        <v>7.9163117587294066E-2</v>
      </c>
      <c r="O208">
        <v>5.7978464707412201</v>
      </c>
      <c r="P208">
        <v>0</v>
      </c>
      <c r="Q208" s="129">
        <v>0</v>
      </c>
      <c r="R208" s="244" cm="1">
        <f t="array" ref="R208">_xlfn.SWITCH(TRUE,
  $C208&lt;$Q$5,  $S$41*$C208+$T$41,
  $C208&lt;$Q$6,  $S$42*$C208+$T$42,
  $C208&lt;$Q$7,  $S$43*$C208+$T$43,
  $C208&lt;$Q$8, $S$44*$C208+$T$44,
  $C208&lt;$Q$9, $S$45*$C208+$T$45,
  $C208&lt;$Q$10, $S$46*$C208+$T$46,
  $C208&lt;$Q$11,  $S$47*$C208+$T$47,
  $C208&lt;$Q$12, $S$48*$C208+$T$48,
  $S$49*$C208+$T$49
)</f>
        <v>1.1000000000000001</v>
      </c>
      <c r="S208" cm="1">
        <f t="array" ref="S208">_xlfn.SWITCH(TRUE,
  $C208&lt;$Q$5,  $U$41*$C208+$V$41,
  $C208&lt;$Q$6,  $U$42*$C208+$V$42,
  $C208&lt;$Q$7,  $U$43*$C208+$V$43,
  $C208&lt;$Q$8, $U$44*$C208+$V$44,
  $C208&lt;$Q$9, $U$45*$C208+$V$45,
  $C208&lt;$Q$10, $U$46*$C208+$V$46,
  $C208&lt;$Q$11,  $U$47*$C208+$V$47,
  $C208&lt;$Q$12, $U$48*$C208+$V$48,
  $U$49*$C208+$V$49
)</f>
        <v>3.8</v>
      </c>
      <c r="T208">
        <f t="shared" ref="T208:Y208" si="13">H208</f>
        <v>1</v>
      </c>
      <c r="U208">
        <f t="shared" si="13"/>
        <v>0</v>
      </c>
      <c r="V208">
        <f t="shared" si="13"/>
        <v>0</v>
      </c>
      <c r="W208">
        <f t="shared" si="13"/>
        <v>0</v>
      </c>
      <c r="X208">
        <f t="shared" si="13"/>
        <v>0</v>
      </c>
      <c r="Y208">
        <f t="shared" si="13"/>
        <v>0</v>
      </c>
      <c r="Z208">
        <v>7.3535672677179711E-2</v>
      </c>
      <c r="AA208">
        <v>5.6200804234500685</v>
      </c>
      <c r="AB208">
        <v>0</v>
      </c>
      <c r="AC208" s="129">
        <v>0</v>
      </c>
      <c r="AD208" s="244" cm="1">
        <f t="array" ref="AD208">_xlfn.SWITCH(TRUE,
  $C208&lt;$Q$5,  $S$61*$C208+$T$61,
  $C208&lt;$Q$6,  $S$62*$C208+$T$62,
  $C208&lt;$Q$7,  $S$63*$C208+$T$63,
  $C208&lt;$Q$8, $S$64*$C208+$T$64,
  $C208&lt;$Q$9, $S$65*$C208+$T$65,
  $C208&lt;$Q$10, $S$66*$C208+$T$66,
  $C208&lt;$Q$11,  $S$67*$C208+$T$67,
  $C208&lt;$Q$12, $S$68*$C208+$T$68,
  $S$69*$C208+$T$69
)</f>
        <v>1.1000000000000001</v>
      </c>
      <c r="AE208" cm="1">
        <f t="array" ref="AE208">_xlfn.SWITCH(TRUE,
  $C208&lt;$Q$5,  $U$61*$C208+$V$61,
  $C208&lt;$Q$6,  $U$62*$C208+$V$62,
  $C208&lt;$Q$7,  $U$63*$C208+$V$63,
  $C208&lt;$Q$8, $U$64*$C208+$V$64,
  $C208&lt;$Q$9, $U$65*$C208+$V$65,
  $C208&lt;$Q$10, $U$66*$C208+$V$66,
  $C208&lt;$Q$11,  $U$67*$C208+$V$67,
  $C208&lt;$Q$12, $U$68*$C208+$V$68,
  $U$69*$C208+$V$69
)</f>
        <v>4</v>
      </c>
      <c r="AF208" cm="1">
        <f t="array" ref="AF208">_xlfn.LET(
  _xlpm.y,$C208,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08" cm="1">
        <f t="array" ref="AG208">_xlfn.LET(
  _xlpm.y,$C208,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08" cm="1">
        <f t="array" ref="AH208">_xlfn.LET(
  _xlpm.y,$C208,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08" cm="1">
        <f t="array" ref="AI208">_xlfn.LET(
  _xlpm.y,$C208,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08" cm="1">
        <f t="array" ref="AJ208">_xlfn.LET(
  _xlpm.y,$C208,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08">
        <f>Y208</f>
        <v>0</v>
      </c>
      <c r="AL208">
        <v>7.3145652113995846E-2</v>
      </c>
      <c r="AM208">
        <v>5.2125551028317867</v>
      </c>
      <c r="AN208">
        <v>0</v>
      </c>
      <c r="AO208" s="129">
        <v>0</v>
      </c>
    </row>
    <row r="209" spans="2:41">
      <c r="B209">
        <f>'主翼(型紙出力)'!B52</f>
        <v>1</v>
      </c>
      <c r="C209">
        <f>INT(('主翼(型紙出力)'!C52)*1000)/1000</f>
        <v>0.15</v>
      </c>
      <c r="D209">
        <f>'主翼(型紙出力)'!E52</f>
        <v>0.15</v>
      </c>
      <c r="E209">
        <f>'主翼(重量推算)'!CE49</f>
        <v>4.5776269032621357</v>
      </c>
      <c r="F209" s="244" cm="1">
        <f t="array" ref="F209">_xlfn.SWITCH(TRUE,
  $C209&lt;$Q$5,  $S$22*$C209+$T$22,
  $C209&lt;$Q$6,  $S$23*$C209+$T$23,
  $C209&lt;$Q$7,  $S$24*$C209+$T$24,
  $C209&lt;$Q$8, $S$25*$C209+$T$25,
  $C209&lt;$Q$9, $S$26*$C209+$T$26,
  $C209&lt;$Q$10, $S$27*$C209+$T$27,
  $C209&lt;$Q$11,  $S$28*$C209+$T$28,
  $C209&lt;$Q$12, $S$29*$C209+$T$29,
  $S$30*$C209+$T$30
)</f>
        <v>1.1000000000000001</v>
      </c>
      <c r="G209" cm="1">
        <f t="array" ref="G209">_xlfn.SWITCH(TRUE,
  $C209&lt;$Q$5,  $U$22*$C209+$V$22,
  $C209&lt;$Q$6,  $U$23*$C209+$V$23,
  $C209&lt;$Q$7,  $U$24*$C209+$V$24,
  $C209&lt;$Q$8, $U$25*$C209+$V$25,
  $C209&lt;$Q$9, $U$26*$C209+$V$26,
  $C209&lt;$Q$10, $U$27*$C209+$V$27,
  $C209&lt;$Q$11,  $U$28*$C209+$V$28,
  $C209&lt;$Q$12, $U$29*$C209+$V$29,
  $U$30*$C209+$V$30
)</f>
        <v>3.4</v>
      </c>
      <c r="H209" cm="1">
        <f t="array" ref="H209">_xlfn.LET(
  _xlpm.y,$C209,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09" cm="1">
        <f t="array" ref="I209">_xlfn.LET(
  _xlpm.y,$C209,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09" cm="1">
        <f t="array" ref="J209">_xlfn.LET(
  _xlpm.y,$C209,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09" cm="1">
        <f t="array" ref="K209">_xlfn.LET(
  _xlpm.y,$C209,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09" cm="1">
        <f t="array" ref="L209">_xlfn.LET(
  _xlpm.y,$C209,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09" cm="1">
        <f t="array" ref="M209">_xlfn.SWITCH(TRUE,
  $C209&lt;$Q$5,  $D$22,
  $C209&lt;$Q$6,  $D$23,
  $C209&lt;$Q$7,  $D$24,
  $C209&lt;$Q$8,  $D$25,
  $C209&lt;$Q$9,  $D$26,
  $C209&lt;$Q$10,  $D$27,
  $C209&lt;$Q$11,  $D$28,
  $C209&lt;$Q$12,  $D$29,
  $C209&lt;$Q$13,  $D$30,
  $C209&lt;100,  $D$31,
)</f>
        <v>0</v>
      </c>
      <c r="N209">
        <v>0.23537819488897876</v>
      </c>
      <c r="O209">
        <v>5.7807027900637351</v>
      </c>
      <c r="P209">
        <v>0.14999985682680789</v>
      </c>
      <c r="Q209" s="129">
        <v>2.0724849126750247E-4</v>
      </c>
      <c r="R209" s="244" cm="1">
        <f t="array" ref="R209">_xlfn.SWITCH(TRUE,
  $C209&lt;$Q$5,  $S$41*$C209+$T$41,
  $C209&lt;$Q$6,  $S$42*$C209+$T$42,
  $C209&lt;$Q$7,  $S$43*$C209+$T$43,
  $C209&lt;$Q$8, $S$44*$C209+$T$44,
  $C209&lt;$Q$9, $S$45*$C209+$T$45,
  $C209&lt;$Q$10, $S$46*$C209+$T$46,
  $C209&lt;$Q$11,  $S$47*$C209+$T$47,
  $C209&lt;$Q$12, $S$48*$C209+$T$48,
  $S$49*$C209+$T$49
)</f>
        <v>1.1000000000000001</v>
      </c>
      <c r="S209" cm="1">
        <f t="array" ref="S209">_xlfn.SWITCH(TRUE,
  $C209&lt;$Q$5,  $U$41*$C209+$V$41,
  $C209&lt;$Q$6,  $U$42*$C209+$V$42,
  $C209&lt;$Q$7,  $U$43*$C209+$V$43,
  $C209&lt;$Q$8, $U$44*$C209+$V$44,
  $C209&lt;$Q$9, $U$45*$C209+$V$45,
  $C209&lt;$Q$10, $U$46*$C209+$V$46,
  $C209&lt;$Q$11,  $U$47*$C209+$V$47,
  $C209&lt;$Q$12, $U$48*$C209+$V$48,
  $U$49*$C209+$V$49
)</f>
        <v>3.8</v>
      </c>
      <c r="T209">
        <f t="shared" ref="T209:T272" si="14">H209</f>
        <v>1</v>
      </c>
      <c r="U209">
        <f t="shared" ref="U209:U272" si="15">I209</f>
        <v>0</v>
      </c>
      <c r="V209">
        <f t="shared" ref="V209:V272" si="16">J209</f>
        <v>0</v>
      </c>
      <c r="W209">
        <f t="shared" ref="W209:W272" si="17">K209</f>
        <v>0</v>
      </c>
      <c r="X209">
        <f t="shared" ref="X209:X272" si="18">L209</f>
        <v>0</v>
      </c>
      <c r="Y209">
        <f t="shared" ref="Y209:Y272" si="19">M209</f>
        <v>0</v>
      </c>
      <c r="Z209">
        <v>0.21852001870608351</v>
      </c>
      <c r="AA209">
        <v>5.631174179471186</v>
      </c>
      <c r="AB209">
        <v>0.14999987645872531</v>
      </c>
      <c r="AC209" s="129">
        <v>1.9251588803025166E-4</v>
      </c>
      <c r="AD209" s="244" cm="1">
        <f t="array" ref="AD209">_xlfn.SWITCH(TRUE,
  $C209&lt;$Q$5,  $S$61*$C209+$T$61,
  $C209&lt;$Q$6,  $S$62*$C209+$T$62,
  $C209&lt;$Q$7,  $S$63*$C209+$T$63,
  $C209&lt;$Q$8, $S$64*$C209+$T$64,
  $C209&lt;$Q$9, $S$65*$C209+$T$65,
  $C209&lt;$Q$10, $S$66*$C209+$T$66,
  $C209&lt;$Q$11,  $S$67*$C209+$T$67,
  $C209&lt;$Q$12, $S$68*$C209+$T$68,
  $S$69*$C209+$T$69
)</f>
        <v>1.1000000000000001</v>
      </c>
      <c r="AE209" cm="1">
        <f t="array" ref="AE209">_xlfn.SWITCH(TRUE,
  $C209&lt;$Q$5,  $U$61*$C209+$V$61,
  $C209&lt;$Q$6,  $U$62*$C209+$V$62,
  $C209&lt;$Q$7,  $U$63*$C209+$V$63,
  $C209&lt;$Q$8, $U$64*$C209+$V$64,
  $C209&lt;$Q$9, $U$65*$C209+$V$65,
  $C209&lt;$Q$10, $U$66*$C209+$V$66,
  $C209&lt;$Q$11,  $U$67*$C209+$V$67,
  $C209&lt;$Q$12, $U$68*$C209+$V$68,
  $U$69*$C209+$V$69
)</f>
        <v>4</v>
      </c>
      <c r="AF209" cm="1">
        <f t="array" ref="AF209">_xlfn.LET(
  _xlpm.y,$C209,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09" cm="1">
        <f t="array" ref="AG209">_xlfn.LET(
  _xlpm.y,$C209,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09" cm="1">
        <f t="array" ref="AH209">_xlfn.LET(
  _xlpm.y,$C209,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09" cm="1">
        <f t="array" ref="AI209">_xlfn.LET(
  _xlpm.y,$C209,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09" cm="1">
        <f t="array" ref="AJ209">_xlfn.LET(
  _xlpm.y,$C209,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09">
        <f t="shared" ref="AK209:AK272" si="20">Y209</f>
        <v>0</v>
      </c>
      <c r="AL209">
        <v>0.21732741040961207</v>
      </c>
      <c r="AM209">
        <v>5.2399280210843306</v>
      </c>
      <c r="AN209">
        <v>0.1499998777657332</v>
      </c>
      <c r="AO209">
        <v>1.9149481742005621E-4</v>
      </c>
    </row>
    <row r="210" spans="2:41">
      <c r="B210">
        <f>'主翼(型紙出力)'!B53</f>
        <v>2</v>
      </c>
      <c r="C210">
        <f>INT(('主翼(型紙出力)'!C53)*1000)/1000</f>
        <v>0.3</v>
      </c>
      <c r="D210">
        <f>'主翼(型紙出力)'!E53</f>
        <v>0.15</v>
      </c>
      <c r="E210">
        <f>'主翼(重量推算)'!CE50</f>
        <v>4.5776269032621357</v>
      </c>
      <c r="F210" s="244" cm="1">
        <f t="array" ref="F210">_xlfn.SWITCH(TRUE,
  $C210&lt;$Q$5,  $S$22*$C210+$T$22,
  $C210&lt;$Q$6,  $S$23*$C210+$T$23,
  $C210&lt;$Q$7,  $S$24*$C210+$T$24,
  $C210&lt;$Q$8, $S$25*$C210+$T$25,
  $C210&lt;$Q$9, $S$26*$C210+$T$26,
  $C210&lt;$Q$10, $S$27*$C210+$T$27,
  $C210&lt;$Q$11,  $S$28*$C210+$T$28,
  $C210&lt;$Q$12, $S$29*$C210+$T$29,
  $S$30*$C210+$T$30
)</f>
        <v>1.1000000000000001</v>
      </c>
      <c r="G210" cm="1">
        <f t="array" ref="G210">_xlfn.SWITCH(TRUE,
  $C210&lt;$Q$5,  $U$22*$C210+$V$22,
  $C210&lt;$Q$6,  $U$23*$C210+$V$23,
  $C210&lt;$Q$7,  $U$24*$C210+$V$24,
  $C210&lt;$Q$8, $U$25*$C210+$V$25,
  $C210&lt;$Q$9, $U$26*$C210+$V$26,
  $C210&lt;$Q$10, $U$27*$C210+$V$27,
  $C210&lt;$Q$11,  $U$28*$C210+$V$28,
  $C210&lt;$Q$12, $U$29*$C210+$V$29,
  $U$30*$C210+$V$30
)</f>
        <v>3.4</v>
      </c>
      <c r="H210" cm="1">
        <f t="array" ref="H210">_xlfn.LET(
  _xlpm.y,$C210,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0" cm="1">
        <f t="array" ref="I210">_xlfn.LET(
  _xlpm.y,$C210,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0" cm="1">
        <f t="array" ref="J210">_xlfn.LET(
  _xlpm.y,$C210,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0" cm="1">
        <f t="array" ref="K210">_xlfn.LET(
  _xlpm.y,$C210,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0" cm="1">
        <f t="array" ref="L210">_xlfn.LET(
  _xlpm.y,$C210,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0" cm="1">
        <f t="array" ref="M210">_xlfn.SWITCH(TRUE,
  $C210&lt;$Q$5,  $D$22,
  $C210&lt;$Q$6,  $D$23,
  $C210&lt;$Q$7,  $D$24,
  $C210&lt;$Q$8,  $D$25,
  $C210&lt;$Q$9,  $D$26,
  $C210&lt;$Q$10,  $D$27,
  $C210&lt;$Q$11,  $D$28,
  $C210&lt;$Q$12,  $D$29,
  $C210&lt;$Q$13,  $D$30,
  $C210&lt;100,  $D$31,
)</f>
        <v>0</v>
      </c>
      <c r="N210">
        <v>0.38739448268213372</v>
      </c>
      <c r="O210">
        <v>5.7669229709829288</v>
      </c>
      <c r="P210">
        <v>0.29999859107707721</v>
      </c>
      <c r="Q210" s="129">
        <v>8.2346543121274108E-4</v>
      </c>
      <c r="R210" s="244" cm="1">
        <f t="array" ref="R210">_xlfn.SWITCH(TRUE,
  $C210&lt;$Q$5,  $S$41*$C210+$T$41,
  $C210&lt;$Q$6,  $S$42*$C210+$T$42,
  $C210&lt;$Q$7,  $S$43*$C210+$T$43,
  $C210&lt;$Q$8, $S$44*$C210+$T$44,
  $C210&lt;$Q$9, $S$45*$C210+$T$45,
  $C210&lt;$Q$10, $S$46*$C210+$T$46,
  $C210&lt;$Q$11,  $S$47*$C210+$T$47,
  $C210&lt;$Q$12, $S$48*$C210+$T$48,
  $S$49*$C210+$T$49
)</f>
        <v>1.1000000000000001</v>
      </c>
      <c r="S210" cm="1">
        <f t="array" ref="S210">_xlfn.SWITCH(TRUE,
  $C210&lt;$Q$5,  $U$41*$C210+$V$41,
  $C210&lt;$Q$6,  $U$42*$C210+$V$42,
  $C210&lt;$Q$7,  $U$43*$C210+$V$43,
  $C210&lt;$Q$8, $U$44*$C210+$V$44,
  $C210&lt;$Q$9, $U$45*$C210+$V$45,
  $C210&lt;$Q$10, $U$46*$C210+$V$46,
  $C210&lt;$Q$11,  $U$47*$C210+$V$47,
  $C210&lt;$Q$12, $U$48*$C210+$V$48,
  $U$49*$C210+$V$49
)</f>
        <v>3.8</v>
      </c>
      <c r="T210">
        <f t="shared" si="14"/>
        <v>1</v>
      </c>
      <c r="U210">
        <f t="shared" si="15"/>
        <v>0</v>
      </c>
      <c r="V210">
        <f t="shared" si="16"/>
        <v>0</v>
      </c>
      <c r="W210">
        <f t="shared" si="17"/>
        <v>0</v>
      </c>
      <c r="X210">
        <f t="shared" si="18"/>
        <v>0</v>
      </c>
      <c r="Y210">
        <f t="shared" si="19"/>
        <v>0</v>
      </c>
      <c r="Z210">
        <v>0.35935797951019788</v>
      </c>
      <c r="AA210">
        <v>5.6384505319129747</v>
      </c>
      <c r="AB210">
        <v>0.29999878552609927</v>
      </c>
      <c r="AC210" s="129">
        <v>7.6459857232029696E-4</v>
      </c>
      <c r="AD210" s="244" cm="1">
        <f t="array" ref="AD210">_xlfn.SWITCH(TRUE,
  $C210&lt;$Q$5,  $S$61*$C210+$T$61,
  $C210&lt;$Q$6,  $S$62*$C210+$T$62,
  $C210&lt;$Q$7,  $S$63*$C210+$T$63,
  $C210&lt;$Q$8, $S$64*$C210+$T$64,
  $C210&lt;$Q$9, $S$65*$C210+$T$65,
  $C210&lt;$Q$10, $S$66*$C210+$T$66,
  $C210&lt;$Q$11,  $S$67*$C210+$T$67,
  $C210&lt;$Q$12, $S$68*$C210+$T$68,
  $S$69*$C210+$T$69
)</f>
        <v>1.1000000000000001</v>
      </c>
      <c r="AE210" cm="1">
        <f t="array" ref="AE210">_xlfn.SWITCH(TRUE,
  $C210&lt;$Q$5,  $U$61*$C210+$V$61,
  $C210&lt;$Q$6,  $U$62*$C210+$V$62,
  $C210&lt;$Q$7,  $U$63*$C210+$V$63,
  $C210&lt;$Q$8, $U$64*$C210+$V$64,
  $C210&lt;$Q$9, $U$65*$C210+$V$65,
  $C210&lt;$Q$10, $U$66*$C210+$V$66,
  $C210&lt;$Q$11,  $U$67*$C210+$V$67,
  $C210&lt;$Q$12, $U$68*$C210+$V$68,
  $U$69*$C210+$V$69
)</f>
        <v>4</v>
      </c>
      <c r="AF210" cm="1">
        <f t="array" ref="AF210">_xlfn.LET(
  _xlpm.y,$C210,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0" cm="1">
        <f t="array" ref="AG210">_xlfn.LET(
  _xlpm.y,$C210,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0" cm="1">
        <f t="array" ref="AH210">_xlfn.LET(
  _xlpm.y,$C210,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0" cm="1">
        <f t="array" ref="AI210">_xlfn.LET(
  _xlpm.y,$C210,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0" cm="1">
        <f t="array" ref="AJ210">_xlfn.LET(
  _xlpm.y,$C210,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0">
        <f t="shared" si="20"/>
        <v>0</v>
      </c>
      <c r="AL210">
        <v>0.35731906430418497</v>
      </c>
      <c r="AM210">
        <v>5.2601113027681849</v>
      </c>
      <c r="AN210">
        <v>0.29999879870848034</v>
      </c>
      <c r="AO210">
        <v>7.6045528307509076E-4</v>
      </c>
    </row>
    <row r="211" spans="2:41">
      <c r="B211">
        <f>'主翼(型紙出力)'!B54</f>
        <v>3</v>
      </c>
      <c r="C211">
        <f>INT(('主翼(型紙出力)'!C54)*1000)/1000</f>
        <v>0.45</v>
      </c>
      <c r="D211">
        <f>'主翼(型紙出力)'!E54</f>
        <v>0.15</v>
      </c>
      <c r="E211">
        <f>'主翼(重量推算)'!CE51</f>
        <v>4.5776269032621366</v>
      </c>
      <c r="F211" s="244" cm="1">
        <f t="array" ref="F211">_xlfn.SWITCH(TRUE,
  $C211&lt;$Q$5,  $S$22*$C211+$T$22,
  $C211&lt;$Q$6,  $S$23*$C211+$T$23,
  $C211&lt;$Q$7,  $S$24*$C211+$T$24,
  $C211&lt;$Q$8, $S$25*$C211+$T$25,
  $C211&lt;$Q$9, $S$26*$C211+$T$26,
  $C211&lt;$Q$10, $S$27*$C211+$T$27,
  $C211&lt;$Q$11,  $S$28*$C211+$T$28,
  $C211&lt;$Q$12, $S$29*$C211+$T$29,
  $S$30*$C211+$T$30
)</f>
        <v>1.1000000000000001</v>
      </c>
      <c r="G211" cm="1">
        <f t="array" ref="G211">_xlfn.SWITCH(TRUE,
  $C211&lt;$Q$5,  $U$22*$C211+$V$22,
  $C211&lt;$Q$6,  $U$23*$C211+$V$23,
  $C211&lt;$Q$7,  $U$24*$C211+$V$24,
  $C211&lt;$Q$8, $U$25*$C211+$V$25,
  $C211&lt;$Q$9, $U$26*$C211+$V$26,
  $C211&lt;$Q$10, $U$27*$C211+$V$27,
  $C211&lt;$Q$11,  $U$28*$C211+$V$28,
  $C211&lt;$Q$12, $U$29*$C211+$V$29,
  $U$30*$C211+$V$30
)</f>
        <v>3.4</v>
      </c>
      <c r="H211" cm="1">
        <f t="array" ref="H211">_xlfn.LET(
  _xlpm.y,$C211,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1" cm="1">
        <f t="array" ref="I211">_xlfn.LET(
  _xlpm.y,$C211,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1" cm="1">
        <f t="array" ref="J211">_xlfn.LET(
  _xlpm.y,$C211,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1" cm="1">
        <f t="array" ref="K211">_xlfn.LET(
  _xlpm.y,$C211,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1" cm="1">
        <f t="array" ref="L211">_xlfn.LET(
  _xlpm.y,$C211,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1" cm="1">
        <f t="array" ref="M211">_xlfn.SWITCH(TRUE,
  $C211&lt;$Q$5,  $D$22,
  $C211&lt;$Q$6,  $D$23,
  $C211&lt;$Q$7,  $D$24,
  $C211&lt;$Q$8,  $D$25,
  $C211&lt;$Q$9,  $D$26,
  $C211&lt;$Q$10,  $D$27,
  $C211&lt;$Q$11,  $D$28,
  $C211&lt;$Q$12,  $D$29,
  $C211&lt;$Q$13,  $D$30,
  $C211&lt;100,  $D$31,
)</f>
        <v>0</v>
      </c>
      <c r="N211">
        <v>0.53525924971815142</v>
      </c>
      <c r="O211">
        <v>5.7559406436012841</v>
      </c>
      <c r="P211">
        <v>0.44999516244245441</v>
      </c>
      <c r="Q211" s="129">
        <v>1.8376540878775034E-3</v>
      </c>
      <c r="R211" s="244" cm="1">
        <f t="array" ref="R211">_xlfn.SWITCH(TRUE,
  $C211&lt;$Q$5,  $S$41*$C211+$T$41,
  $C211&lt;$Q$6,  $S$42*$C211+$T$42,
  $C211&lt;$Q$7,  $S$43*$C211+$T$43,
  $C211&lt;$Q$8, $S$44*$C211+$T$44,
  $C211&lt;$Q$9, $S$45*$C211+$T$45,
  $C211&lt;$Q$10, $S$46*$C211+$T$46,
  $C211&lt;$Q$11,  $S$47*$C211+$T$47,
  $C211&lt;$Q$12, $S$48*$C211+$T$48,
  $S$49*$C211+$T$49
)</f>
        <v>1.1000000000000001</v>
      </c>
      <c r="S211" cm="1">
        <f t="array" ref="S211">_xlfn.SWITCH(TRUE,
  $C211&lt;$Q$5,  $U$41*$C211+$V$41,
  $C211&lt;$Q$6,  $U$42*$C211+$V$42,
  $C211&lt;$Q$7,  $U$43*$C211+$V$43,
  $C211&lt;$Q$8, $U$44*$C211+$V$44,
  $C211&lt;$Q$9, $U$45*$C211+$V$45,
  $C211&lt;$Q$10, $U$46*$C211+$V$46,
  $C211&lt;$Q$11,  $U$47*$C211+$V$47,
  $C211&lt;$Q$12, $U$48*$C211+$V$48,
  $U$49*$C211+$V$49
)</f>
        <v>3.8</v>
      </c>
      <c r="T211">
        <f t="shared" si="14"/>
        <v>1</v>
      </c>
      <c r="U211">
        <f t="shared" si="15"/>
        <v>0</v>
      </c>
      <c r="V211">
        <f t="shared" si="16"/>
        <v>0</v>
      </c>
      <c r="W211">
        <f t="shared" si="17"/>
        <v>0</v>
      </c>
      <c r="X211">
        <f t="shared" si="18"/>
        <v>0</v>
      </c>
      <c r="Y211">
        <f t="shared" si="19"/>
        <v>0</v>
      </c>
      <c r="Z211">
        <v>0.49610463495588419</v>
      </c>
      <c r="AA211">
        <v>5.6420700667078547</v>
      </c>
      <c r="AB211">
        <v>0.44999583520584729</v>
      </c>
      <c r="AC211" s="129">
        <v>1.7053893945608248E-3</v>
      </c>
      <c r="AD211" s="244" cm="1">
        <f t="array" ref="AD211">_xlfn.SWITCH(TRUE,
  $C211&lt;$Q$5,  $S$61*$C211+$T$61,
  $C211&lt;$Q$6,  $S$62*$C211+$T$62,
  $C211&lt;$Q$7,  $S$63*$C211+$T$63,
  $C211&lt;$Q$8, $S$64*$C211+$T$64,
  $C211&lt;$Q$9, $S$65*$C211+$T$65,
  $C211&lt;$Q$10, $S$66*$C211+$T$66,
  $C211&lt;$Q$11,  $S$67*$C211+$T$67,
  $C211&lt;$Q$12, $S$68*$C211+$T$68,
  $S$69*$C211+$T$69
)</f>
        <v>1.1000000000000001</v>
      </c>
      <c r="AE211" cm="1">
        <f t="array" ref="AE211">_xlfn.SWITCH(TRUE,
  $C211&lt;$Q$5,  $U$61*$C211+$V$61,
  $C211&lt;$Q$6,  $U$62*$C211+$V$62,
  $C211&lt;$Q$7,  $U$63*$C211+$V$63,
  $C211&lt;$Q$8, $U$64*$C211+$V$64,
  $C211&lt;$Q$9, $U$65*$C211+$V$65,
  $C211&lt;$Q$10, $U$66*$C211+$V$66,
  $C211&lt;$Q$11,  $U$67*$C211+$V$67,
  $C211&lt;$Q$12, $U$68*$C211+$V$68,
  $U$69*$C211+$V$69
)</f>
        <v>4</v>
      </c>
      <c r="AF211" cm="1">
        <f t="array" ref="AF211">_xlfn.LET(
  _xlpm.y,$C211,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1" cm="1">
        <f t="array" ref="AG211">_xlfn.LET(
  _xlpm.y,$C211,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1" cm="1">
        <f t="array" ref="AH211">_xlfn.LET(
  _xlpm.y,$C211,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1" cm="1">
        <f t="array" ref="AI211">_xlfn.LET(
  _xlpm.y,$C211,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1" cm="1">
        <f t="array" ref="AJ211">_xlfn.LET(
  _xlpm.y,$C211,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1">
        <f t="shared" si="20"/>
        <v>0</v>
      </c>
      <c r="AL211">
        <v>0.49317815610656779</v>
      </c>
      <c r="AM211">
        <v>5.2736399061826988</v>
      </c>
      <c r="AN211">
        <v>0.44999588177203265</v>
      </c>
      <c r="AO211">
        <v>1.6959083421834334E-3</v>
      </c>
    </row>
    <row r="212" spans="2:41">
      <c r="B212">
        <f>'主翼(型紙出力)'!B55</f>
        <v>4</v>
      </c>
      <c r="C212">
        <f>INT(('主翼(型紙出力)'!C55)*1000)/1000</f>
        <v>0.6</v>
      </c>
      <c r="D212">
        <f>'主翼(型紙出力)'!E55</f>
        <v>0.15</v>
      </c>
      <c r="E212">
        <f>'主翼(重量推算)'!CE52</f>
        <v>4.5776269032621366</v>
      </c>
      <c r="F212" s="244" cm="1">
        <f t="array" ref="F212">_xlfn.SWITCH(TRUE,
  $C212&lt;$Q$5,  $S$22*$C212+$T$22,
  $C212&lt;$Q$6,  $S$23*$C212+$T$23,
  $C212&lt;$Q$7,  $S$24*$C212+$T$24,
  $C212&lt;$Q$8, $S$25*$C212+$T$25,
  $C212&lt;$Q$9, $S$26*$C212+$T$26,
  $C212&lt;$Q$10, $S$27*$C212+$T$27,
  $C212&lt;$Q$11,  $S$28*$C212+$T$28,
  $C212&lt;$Q$12, $S$29*$C212+$T$29,
  $S$30*$C212+$T$30
)</f>
        <v>1.1000000000000001</v>
      </c>
      <c r="G212" cm="1">
        <f t="array" ref="G212">_xlfn.SWITCH(TRUE,
  $C212&lt;$Q$5,  $U$22*$C212+$V$22,
  $C212&lt;$Q$6,  $U$23*$C212+$V$23,
  $C212&lt;$Q$7,  $U$24*$C212+$V$24,
  $C212&lt;$Q$8, $U$25*$C212+$V$25,
  $C212&lt;$Q$9, $U$26*$C212+$V$26,
  $C212&lt;$Q$10, $U$27*$C212+$V$27,
  $C212&lt;$Q$11,  $U$28*$C212+$V$28,
  $C212&lt;$Q$12, $U$29*$C212+$V$29,
  $U$30*$C212+$V$30
)</f>
        <v>3.4</v>
      </c>
      <c r="H212" cm="1">
        <f t="array" ref="H212">_xlfn.LET(
  _xlpm.y,$C212,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2" cm="1">
        <f t="array" ref="I212">_xlfn.LET(
  _xlpm.y,$C212,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2" cm="1">
        <f t="array" ref="J212">_xlfn.LET(
  _xlpm.y,$C212,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2" cm="1">
        <f t="array" ref="K212">_xlfn.LET(
  _xlpm.y,$C212,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2" cm="1">
        <f t="array" ref="L212">_xlfn.LET(
  _xlpm.y,$C212,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2" cm="1">
        <f t="array" ref="M212">_xlfn.SWITCH(TRUE,
  $C212&lt;$Q$5,  $D$22,
  $C212&lt;$Q$6,  $D$23,
  $C212&lt;$Q$7,  $D$24,
  $C212&lt;$Q$8,  $D$25,
  $C212&lt;$Q$9,  $D$26,
  $C212&lt;$Q$10,  $D$27,
  $C212&lt;$Q$11,  $D$28,
  $C212&lt;$Q$12,  $D$29,
  $C212&lt;$Q$13,  $D$30,
  $C212&lt;100,  $D$31,
)</f>
        <v>0</v>
      </c>
      <c r="N212">
        <v>0.67902011561431175</v>
      </c>
      <c r="O212">
        <v>5.7472260386523422</v>
      </c>
      <c r="P212">
        <v>0.59998861696694827</v>
      </c>
      <c r="Q212" s="129">
        <v>3.2389391440288107E-3</v>
      </c>
      <c r="R212" s="244" cm="1">
        <f t="array" ref="R212">_xlfn.SWITCH(TRUE,
  $C212&lt;$Q$5,  $S$41*$C212+$T$41,
  $C212&lt;$Q$6,  $S$42*$C212+$T$42,
  $C212&lt;$Q$7,  $S$43*$C212+$T$43,
  $C212&lt;$Q$8, $S$44*$C212+$T$44,
  $C212&lt;$Q$9, $S$45*$C212+$T$45,
  $C212&lt;$Q$10, $S$46*$C212+$T$46,
  $C212&lt;$Q$11,  $S$47*$C212+$T$47,
  $C212&lt;$Q$12, $S$48*$C212+$T$48,
  $S$49*$C212+$T$49
)</f>
        <v>1.1000000000000001</v>
      </c>
      <c r="S212" cm="1">
        <f t="array" ref="S212">_xlfn.SWITCH(TRUE,
  $C212&lt;$Q$5,  $U$41*$C212+$V$41,
  $C212&lt;$Q$6,  $U$42*$C212+$V$42,
  $C212&lt;$Q$7,  $U$43*$C212+$V$43,
  $C212&lt;$Q$8, $U$44*$C212+$V$44,
  $C212&lt;$Q$9, $U$45*$C212+$V$45,
  $C212&lt;$Q$10, $U$46*$C212+$V$46,
  $C212&lt;$Q$11,  $U$47*$C212+$V$47,
  $C212&lt;$Q$12, $U$48*$C212+$V$48,
  $U$49*$C212+$V$49
)</f>
        <v>3.8</v>
      </c>
      <c r="T212">
        <f t="shared" si="14"/>
        <v>1</v>
      </c>
      <c r="U212">
        <f t="shared" si="15"/>
        <v>0</v>
      </c>
      <c r="V212">
        <f t="shared" si="16"/>
        <v>0</v>
      </c>
      <c r="W212">
        <f t="shared" si="17"/>
        <v>0</v>
      </c>
      <c r="X212">
        <f t="shared" si="18"/>
        <v>0</v>
      </c>
      <c r="Y212">
        <f t="shared" si="19"/>
        <v>0</v>
      </c>
      <c r="Z212">
        <v>0.62881481926378391</v>
      </c>
      <c r="AA212">
        <v>5.6421888198761785</v>
      </c>
      <c r="AB212">
        <v>0.59999021231239336</v>
      </c>
      <c r="AC212" s="129">
        <v>3.0041720627717178E-3</v>
      </c>
      <c r="AD212" s="244" cm="1">
        <f t="array" ref="AD212">_xlfn.SWITCH(TRUE,
  $C212&lt;$Q$5,  $S$61*$C212+$T$61,
  $C212&lt;$Q$6,  $S$62*$C212+$T$62,
  $C212&lt;$Q$7,  $S$63*$C212+$T$63,
  $C212&lt;$Q$8, $S$64*$C212+$T$64,
  $C212&lt;$Q$9, $S$65*$C212+$T$65,
  $C212&lt;$Q$10, $S$66*$C212+$T$66,
  $C212&lt;$Q$11,  $S$67*$C212+$T$67,
  $C212&lt;$Q$12, $S$68*$C212+$T$68,
  $S$69*$C212+$T$69
)</f>
        <v>1.1000000000000001</v>
      </c>
      <c r="AE212" cm="1">
        <f t="array" ref="AE212">_xlfn.SWITCH(TRUE,
  $C212&lt;$Q$5,  $U$61*$C212+$V$61,
  $C212&lt;$Q$6,  $U$62*$C212+$V$62,
  $C212&lt;$Q$7,  $U$63*$C212+$V$63,
  $C212&lt;$Q$8, $U$64*$C212+$V$64,
  $C212&lt;$Q$9, $U$65*$C212+$V$65,
  $C212&lt;$Q$10, $U$66*$C212+$V$66,
  $C212&lt;$Q$11,  $U$67*$C212+$V$67,
  $C212&lt;$Q$12, $U$68*$C212+$V$68,
  $U$69*$C212+$V$69
)</f>
        <v>4</v>
      </c>
      <c r="AF212" cm="1">
        <f t="array" ref="AF212">_xlfn.LET(
  _xlpm.y,$C212,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2" cm="1">
        <f t="array" ref="AG212">_xlfn.LET(
  _xlpm.y,$C212,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2" cm="1">
        <f t="array" ref="AH212">_xlfn.LET(
  _xlpm.y,$C212,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2" cm="1">
        <f t="array" ref="AI212">_xlfn.LET(
  _xlpm.y,$C212,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2" cm="1">
        <f t="array" ref="AJ212">_xlfn.LET(
  _xlpm.y,$C212,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2">
        <f t="shared" si="20"/>
        <v>0</v>
      </c>
      <c r="AL212">
        <v>0.62496151046407111</v>
      </c>
      <c r="AM212">
        <v>5.2810224814526574</v>
      </c>
      <c r="AN212">
        <v>0.59999032502044547</v>
      </c>
      <c r="AO212">
        <v>2.9870297921907188E-3</v>
      </c>
    </row>
    <row r="213" spans="2:41">
      <c r="B213">
        <f>'主翼(型紙出力)'!B56</f>
        <v>5</v>
      </c>
      <c r="C213">
        <f>INT(('主翼(型紙出力)'!C56)*1000)/1000</f>
        <v>0.75</v>
      </c>
      <c r="D213">
        <f>'主翼(型紙出力)'!E56</f>
        <v>0.15</v>
      </c>
      <c r="E213">
        <f>'主翼(重量推算)'!CE53</f>
        <v>4.5776269032621366</v>
      </c>
      <c r="F213" s="244" cm="1">
        <f t="array" ref="F213">_xlfn.SWITCH(TRUE,
  $C213&lt;$Q$5,  $S$22*$C213+$T$22,
  $C213&lt;$Q$6,  $S$23*$C213+$T$23,
  $C213&lt;$Q$7,  $S$24*$C213+$T$24,
  $C213&lt;$Q$8, $S$25*$C213+$T$25,
  $C213&lt;$Q$9, $S$26*$C213+$T$26,
  $C213&lt;$Q$10, $S$27*$C213+$T$27,
  $C213&lt;$Q$11,  $S$28*$C213+$T$28,
  $C213&lt;$Q$12, $S$29*$C213+$T$29,
  $S$30*$C213+$T$30
)</f>
        <v>1.1000000000000001</v>
      </c>
      <c r="G213" cm="1">
        <f t="array" ref="G213">_xlfn.SWITCH(TRUE,
  $C213&lt;$Q$5,  $U$22*$C213+$V$22,
  $C213&lt;$Q$6,  $U$23*$C213+$V$23,
  $C213&lt;$Q$7,  $U$24*$C213+$V$24,
  $C213&lt;$Q$8, $U$25*$C213+$V$25,
  $C213&lt;$Q$9, $U$26*$C213+$V$26,
  $C213&lt;$Q$10, $U$27*$C213+$V$27,
  $C213&lt;$Q$11,  $U$28*$C213+$V$28,
  $C213&lt;$Q$12, $U$29*$C213+$V$29,
  $U$30*$C213+$V$30
)</f>
        <v>3.4</v>
      </c>
      <c r="H213" cm="1">
        <f t="array" ref="H213">_xlfn.LET(
  _xlpm.y,$C213,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3" cm="1">
        <f t="array" ref="I213">_xlfn.LET(
  _xlpm.y,$C213,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3" cm="1">
        <f t="array" ref="J213">_xlfn.LET(
  _xlpm.y,$C213,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3" cm="1">
        <f t="array" ref="K213">_xlfn.LET(
  _xlpm.y,$C213,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3" cm="1">
        <f t="array" ref="L213">_xlfn.LET(
  _xlpm.y,$C213,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3" cm="1">
        <f t="array" ref="M213">_xlfn.SWITCH(TRUE,
  $C213&lt;$Q$5,  $D$22,
  $C213&lt;$Q$6,  $D$23,
  $C213&lt;$Q$7,  $D$24,
  $C213&lt;$Q$8,  $D$25,
  $C213&lt;$Q$9,  $D$26,
  $C213&lt;$Q$10,  $D$27,
  $C213&lt;$Q$11,  $D$28,
  $C213&lt;$Q$12,  $D$29,
  $C213&lt;$Q$13,  $D$30,
  $C213&lt;100,  $D$31,
)</f>
        <v>0</v>
      </c>
      <c r="N213">
        <v>0.81872491360767574</v>
      </c>
      <c r="O213">
        <v>5.7402849911291094</v>
      </c>
      <c r="P213">
        <v>0.74997808338214589</v>
      </c>
      <c r="Q213" s="129">
        <v>5.0165680378941816E-3</v>
      </c>
      <c r="R213" s="244" cm="1">
        <f t="array" ref="R213">_xlfn.SWITCH(TRUE,
  $C213&lt;$Q$5,  $S$41*$C213+$T$41,
  $C213&lt;$Q$6,  $S$42*$C213+$T$42,
  $C213&lt;$Q$7,  $S$43*$C213+$T$43,
  $C213&lt;$Q$8, $S$44*$C213+$T$44,
  $C213&lt;$Q$9, $S$45*$C213+$T$45,
  $C213&lt;$Q$10, $S$46*$C213+$T$46,
  $C213&lt;$Q$11,  $S$47*$C213+$T$47,
  $C213&lt;$Q$12, $S$48*$C213+$T$48,
  $S$49*$C213+$T$49
)</f>
        <v>1.1000000000000001</v>
      </c>
      <c r="S213" cm="1">
        <f t="array" ref="S213">_xlfn.SWITCH(TRUE,
  $C213&lt;$Q$5,  $U$41*$C213+$V$41,
  $C213&lt;$Q$6,  $U$42*$C213+$V$42,
  $C213&lt;$Q$7,  $U$43*$C213+$V$43,
  $C213&lt;$Q$8, $U$44*$C213+$V$44,
  $C213&lt;$Q$9, $U$45*$C213+$V$45,
  $C213&lt;$Q$10, $U$46*$C213+$V$46,
  $C213&lt;$Q$11,  $U$47*$C213+$V$47,
  $C213&lt;$Q$12, $U$48*$C213+$V$48,
  $U$49*$C213+$V$49
)</f>
        <v>3.8</v>
      </c>
      <c r="T213">
        <f t="shared" si="14"/>
        <v>1</v>
      </c>
      <c r="U213">
        <f t="shared" si="15"/>
        <v>0</v>
      </c>
      <c r="V213">
        <f t="shared" si="16"/>
        <v>0</v>
      </c>
      <c r="W213">
        <f t="shared" si="17"/>
        <v>0</v>
      </c>
      <c r="X213">
        <f t="shared" si="18"/>
        <v>0</v>
      </c>
      <c r="Y213">
        <f t="shared" si="19"/>
        <v>0</v>
      </c>
      <c r="Z213">
        <v>0.75754320920766882</v>
      </c>
      <c r="AA213">
        <v>5.6389583002030781</v>
      </c>
      <c r="AB213">
        <v>0.74998117878895487</v>
      </c>
      <c r="AC213" s="129">
        <v>4.650372362556332E-3</v>
      </c>
      <c r="AD213" s="244" cm="1">
        <f t="array" ref="AD213">_xlfn.SWITCH(TRUE,
  $C213&lt;$Q$5,  $S$61*$C213+$T$61,
  $C213&lt;$Q$6,  $S$62*$C213+$T$62,
  $C213&lt;$Q$7,  $S$63*$C213+$T$63,
  $C213&lt;$Q$8, $S$64*$C213+$T$64,
  $C213&lt;$Q$9, $S$65*$C213+$T$65,
  $C213&lt;$Q$10, $S$66*$C213+$T$66,
  $C213&lt;$Q$11,  $S$67*$C213+$T$67,
  $C213&lt;$Q$12, $S$68*$C213+$T$68,
  $S$69*$C213+$T$69
)</f>
        <v>1.1000000000000001</v>
      </c>
      <c r="AE213" cm="1">
        <f t="array" ref="AE213">_xlfn.SWITCH(TRUE,
  $C213&lt;$Q$5,  $U$61*$C213+$V$61,
  $C213&lt;$Q$6,  $U$62*$C213+$V$62,
  $C213&lt;$Q$7,  $U$63*$C213+$V$63,
  $C213&lt;$Q$8, $U$64*$C213+$V$64,
  $C213&lt;$Q$9, $U$65*$C213+$V$65,
  $C213&lt;$Q$10, $U$66*$C213+$V$66,
  $C213&lt;$Q$11,  $U$67*$C213+$V$67,
  $C213&lt;$Q$12, $U$68*$C213+$V$68,
  $U$69*$C213+$V$69
)</f>
        <v>4</v>
      </c>
      <c r="AF213" cm="1">
        <f t="array" ref="AF213">_xlfn.LET(
  _xlpm.y,$C213,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3" cm="1">
        <f t="array" ref="AG213">_xlfn.LET(
  _xlpm.y,$C213,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3" cm="1">
        <f t="array" ref="AH213">_xlfn.LET(
  _xlpm.y,$C213,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3" cm="1">
        <f t="array" ref="AI213">_xlfn.LET(
  _xlpm.y,$C213,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3" cm="1">
        <f t="array" ref="AJ213">_xlfn.LET(
  _xlpm.y,$C213,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3">
        <f t="shared" si="20"/>
        <v>0</v>
      </c>
      <c r="AL213">
        <v>0.7527254909592509</v>
      </c>
      <c r="AM213">
        <v>5.2827419217834599</v>
      </c>
      <c r="AN213">
        <v>0.74998140186959195</v>
      </c>
      <c r="AO213">
        <v>4.6231427569433129E-3</v>
      </c>
    </row>
    <row r="214" spans="2:41">
      <c r="B214">
        <f>'主翼(型紙出力)'!B57</f>
        <v>6</v>
      </c>
      <c r="C214">
        <f>INT(('主翼(型紙出力)'!C57)*1000)/1000</f>
        <v>0.9</v>
      </c>
      <c r="D214">
        <f>'主翼(型紙出力)'!E57</f>
        <v>0.15</v>
      </c>
      <c r="E214">
        <f>'主翼(重量推算)'!CE54</f>
        <v>4.5776269032621366</v>
      </c>
      <c r="F214" s="244" cm="1">
        <f t="array" ref="F214">_xlfn.SWITCH(TRUE,
  $C214&lt;$Q$5,  $S$22*$C214+$T$22,
  $C214&lt;$Q$6,  $S$23*$C214+$T$23,
  $C214&lt;$Q$7,  $S$24*$C214+$T$24,
  $C214&lt;$Q$8, $S$25*$C214+$T$25,
  $C214&lt;$Q$9, $S$26*$C214+$T$26,
  $C214&lt;$Q$10, $S$27*$C214+$T$27,
  $C214&lt;$Q$11,  $S$28*$C214+$T$28,
  $C214&lt;$Q$12, $S$29*$C214+$T$29,
  $S$30*$C214+$T$30
)</f>
        <v>1.1000000000000001</v>
      </c>
      <c r="G214" cm="1">
        <f t="array" ref="G214">_xlfn.SWITCH(TRUE,
  $C214&lt;$Q$5,  $U$22*$C214+$V$22,
  $C214&lt;$Q$6,  $U$23*$C214+$V$23,
  $C214&lt;$Q$7,  $U$24*$C214+$V$24,
  $C214&lt;$Q$8, $U$25*$C214+$V$25,
  $C214&lt;$Q$9, $U$26*$C214+$V$26,
  $C214&lt;$Q$10, $U$27*$C214+$V$27,
  $C214&lt;$Q$11,  $U$28*$C214+$V$28,
  $C214&lt;$Q$12, $U$29*$C214+$V$29,
  $U$30*$C214+$V$30
)</f>
        <v>3.4</v>
      </c>
      <c r="H214" cm="1">
        <f t="array" ref="H214">_xlfn.LET(
  _xlpm.y,$C214,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4" cm="1">
        <f t="array" ref="I214">_xlfn.LET(
  _xlpm.y,$C214,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4" cm="1">
        <f t="array" ref="J214">_xlfn.LET(
  _xlpm.y,$C214,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4" cm="1">
        <f t="array" ref="K214">_xlfn.LET(
  _xlpm.y,$C214,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4" cm="1">
        <f t="array" ref="L214">_xlfn.LET(
  _xlpm.y,$C214,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4" cm="1">
        <f t="array" ref="M214">_xlfn.SWITCH(TRUE,
  $C214&lt;$Q$5,  $D$22,
  $C214&lt;$Q$6,  $D$23,
  $C214&lt;$Q$7,  $D$24,
  $C214&lt;$Q$8,  $D$25,
  $C214&lt;$Q$9,  $D$26,
  $C214&lt;$Q$10,  $D$27,
  $C214&lt;$Q$11,  $D$28,
  $C214&lt;$Q$12,  $D$29,
  $C214&lt;$Q$13,  $D$30,
  $C214&lt;100,  $D$31,
)</f>
        <v>0</v>
      </c>
      <c r="N214">
        <v>0.95442159515746727</v>
      </c>
      <c r="O214">
        <v>5.7346579356492056</v>
      </c>
      <c r="P214">
        <v>0.89996276952396381</v>
      </c>
      <c r="Q214" s="129">
        <v>7.1599119068015502E-3</v>
      </c>
      <c r="R214" s="244" cm="1">
        <f t="array" ref="R214">_xlfn.SWITCH(TRUE,
  $C214&lt;$Q$5,  $S$41*$C214+$T$41,
  $C214&lt;$Q$6,  $S$42*$C214+$T$42,
  $C214&lt;$Q$7,  $S$43*$C214+$T$43,
  $C214&lt;$Q$8, $S$44*$C214+$T$44,
  $C214&lt;$Q$9, $S$45*$C214+$T$45,
  $C214&lt;$Q$10, $S$46*$C214+$T$46,
  $C214&lt;$Q$11,  $S$47*$C214+$T$47,
  $C214&lt;$Q$12, $S$48*$C214+$T$48,
  $S$49*$C214+$T$49
)</f>
        <v>1.1000000000000001</v>
      </c>
      <c r="S214" cm="1">
        <f t="array" ref="S214">_xlfn.SWITCH(TRUE,
  $C214&lt;$Q$5,  $U$41*$C214+$V$41,
  $C214&lt;$Q$6,  $U$42*$C214+$V$42,
  $C214&lt;$Q$7,  $U$43*$C214+$V$43,
  $C214&lt;$Q$8, $U$44*$C214+$V$44,
  $C214&lt;$Q$9, $U$45*$C214+$V$45,
  $C214&lt;$Q$10, $U$46*$C214+$V$46,
  $C214&lt;$Q$11,  $U$47*$C214+$V$47,
  $C214&lt;$Q$12, $U$48*$C214+$V$48,
  $U$49*$C214+$V$49
)</f>
        <v>3.8</v>
      </c>
      <c r="T214">
        <f t="shared" si="14"/>
        <v>1</v>
      </c>
      <c r="U214">
        <f t="shared" si="15"/>
        <v>0</v>
      </c>
      <c r="V214">
        <f t="shared" si="16"/>
        <v>0</v>
      </c>
      <c r="W214">
        <f t="shared" si="17"/>
        <v>0</v>
      </c>
      <c r="X214">
        <f t="shared" si="18"/>
        <v>0</v>
      </c>
      <c r="Y214">
        <f t="shared" si="19"/>
        <v>0</v>
      </c>
      <c r="Z214">
        <v>0.88234439745550231</v>
      </c>
      <c r="AA214">
        <v>5.6325255139853114</v>
      </c>
      <c r="AB214">
        <v>0.89996806813089114</v>
      </c>
      <c r="AC214" s="129">
        <v>6.6335580648456179E-3</v>
      </c>
      <c r="AD214" s="244" cm="1">
        <f t="array" ref="AD214">_xlfn.SWITCH(TRUE,
  $C214&lt;$Q$5,  $S$61*$C214+$T$61,
  $C214&lt;$Q$6,  $S$62*$C214+$T$62,
  $C214&lt;$Q$7,  $S$63*$C214+$T$63,
  $C214&lt;$Q$8, $S$64*$C214+$T$64,
  $C214&lt;$Q$9, $S$65*$C214+$T$65,
  $C214&lt;$Q$10, $S$66*$C214+$T$66,
  $C214&lt;$Q$11,  $S$67*$C214+$T$67,
  $C214&lt;$Q$12, $S$68*$C214+$T$68,
  $S$69*$C214+$T$69
)</f>
        <v>1.1000000000000001</v>
      </c>
      <c r="AE214" cm="1">
        <f t="array" ref="AE214">_xlfn.SWITCH(TRUE,
  $C214&lt;$Q$5,  $U$61*$C214+$V$61,
  $C214&lt;$Q$6,  $U$62*$C214+$V$62,
  $C214&lt;$Q$7,  $U$63*$C214+$V$63,
  $C214&lt;$Q$8, $U$64*$C214+$V$64,
  $C214&lt;$Q$9, $U$65*$C214+$V$65,
  $C214&lt;$Q$10, $U$66*$C214+$V$66,
  $C214&lt;$Q$11,  $U$67*$C214+$V$67,
  $C214&lt;$Q$12, $U$68*$C214+$V$68,
  $U$69*$C214+$V$69
)</f>
        <v>4</v>
      </c>
      <c r="AF214" cm="1">
        <f t="array" ref="AF214">_xlfn.LET(
  _xlpm.y,$C214,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4" cm="1">
        <f t="array" ref="AG214">_xlfn.LET(
  _xlpm.y,$C214,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4" cm="1">
        <f t="array" ref="AH214">_xlfn.LET(
  _xlpm.y,$C214,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4" cm="1">
        <f t="array" ref="AI214">_xlfn.LET(
  _xlpm.y,$C214,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4" cm="1">
        <f t="array" ref="AJ214">_xlfn.LET(
  _xlpm.y,$C214,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4">
        <f t="shared" si="20"/>
        <v>0</v>
      </c>
      <c r="AL214">
        <v>0.87652619395517029</v>
      </c>
      <c r="AM214">
        <v>5.2792559216054951</v>
      </c>
      <c r="AN214">
        <v>0.89996845743756304</v>
      </c>
      <c r="AO214">
        <v>6.5937167977666439E-3</v>
      </c>
    </row>
    <row r="215" spans="2:41">
      <c r="B215">
        <f>'主翼(型紙出力)'!B58</f>
        <v>7</v>
      </c>
      <c r="C215">
        <f>INT(('主翼(型紙出力)'!C58)*1000)/1000</f>
        <v>1.05</v>
      </c>
      <c r="D215">
        <f>'主翼(型紙出力)'!E58</f>
        <v>0.15</v>
      </c>
      <c r="E215">
        <f>'主翼(重量推算)'!CE55</f>
        <v>4.5776269032621357</v>
      </c>
      <c r="F215" s="244" cm="1">
        <f t="array" ref="F215">_xlfn.SWITCH(TRUE,
  $C215&lt;$Q$5,  $S$22*$C215+$T$22,
  $C215&lt;$Q$6,  $S$23*$C215+$T$23,
  $C215&lt;$Q$7,  $S$24*$C215+$T$24,
  $C215&lt;$Q$8, $S$25*$C215+$T$25,
  $C215&lt;$Q$9, $S$26*$C215+$T$26,
  $C215&lt;$Q$10, $S$27*$C215+$T$27,
  $C215&lt;$Q$11,  $S$28*$C215+$T$28,
  $C215&lt;$Q$12, $S$29*$C215+$T$29,
  $S$30*$C215+$T$30
)</f>
        <v>1.1000000000000001</v>
      </c>
      <c r="G215" cm="1">
        <f t="array" ref="G215">_xlfn.SWITCH(TRUE,
  $C215&lt;$Q$5,  $U$22*$C215+$V$22,
  $C215&lt;$Q$6,  $U$23*$C215+$V$23,
  $C215&lt;$Q$7,  $U$24*$C215+$V$24,
  $C215&lt;$Q$8, $U$25*$C215+$V$25,
  $C215&lt;$Q$9, $U$26*$C215+$V$26,
  $C215&lt;$Q$10, $U$27*$C215+$V$27,
  $C215&lt;$Q$11,  $U$28*$C215+$V$28,
  $C215&lt;$Q$12, $U$29*$C215+$V$29,
  $U$30*$C215+$V$30
)</f>
        <v>3.4</v>
      </c>
      <c r="H215" cm="1">
        <f t="array" ref="H215">_xlfn.LET(
  _xlpm.y,$C215,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5" cm="1">
        <f t="array" ref="I215">_xlfn.LET(
  _xlpm.y,$C215,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5" cm="1">
        <f t="array" ref="J215">_xlfn.LET(
  _xlpm.y,$C215,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5" cm="1">
        <f t="array" ref="K215">_xlfn.LET(
  _xlpm.y,$C215,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5" cm="1">
        <f t="array" ref="L215">_xlfn.LET(
  _xlpm.y,$C215,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5" cm="1">
        <f t="array" ref="M215">_xlfn.SWITCH(TRUE,
  $C215&lt;$Q$5,  $D$22,
  $C215&lt;$Q$6,  $D$23,
  $C215&lt;$Q$7,  $D$24,
  $C215&lt;$Q$8,  $D$25,
  $C215&lt;$Q$9,  $D$26,
  $C215&lt;$Q$10,  $D$27,
  $C215&lt;$Q$11,  $D$28,
  $C215&lt;$Q$12,  $D$29,
  $C215&lt;$Q$13,  $D$30,
  $C215&lt;100,  $D$31,
)</f>
        <v>0</v>
      </c>
      <c r="N215">
        <v>1.0861569407476099</v>
      </c>
      <c r="O215">
        <v>5.7299188946571791</v>
      </c>
      <c r="P215">
        <v>1.0499419588344039</v>
      </c>
      <c r="Q215" s="129">
        <v>9.6584662454479546E-3</v>
      </c>
      <c r="R215" s="244" cm="1">
        <f t="array" ref="R215">_xlfn.SWITCH(TRUE,
  $C215&lt;$Q$5,  $S$41*$C215+$T$41,
  $C215&lt;$Q$6,  $S$42*$C215+$T$42,
  $C215&lt;$Q$7,  $S$43*$C215+$T$43,
  $C215&lt;$Q$8, $S$44*$C215+$T$44,
  $C215&lt;$Q$9, $S$45*$C215+$T$45,
  $C215&lt;$Q$10, $S$46*$C215+$T$46,
  $C215&lt;$Q$11,  $S$47*$C215+$T$47,
  $C215&lt;$Q$12, $S$48*$C215+$T$48,
  $S$49*$C215+$T$49
)</f>
        <v>1.1000000000000001</v>
      </c>
      <c r="S215" cm="1">
        <f t="array" ref="S215">_xlfn.SWITCH(TRUE,
  $C215&lt;$Q$5,  $U$41*$C215+$V$41,
  $C215&lt;$Q$6,  $U$42*$C215+$V$42,
  $C215&lt;$Q$7,  $U$43*$C215+$V$43,
  $C215&lt;$Q$8, $U$44*$C215+$V$44,
  $C215&lt;$Q$9, $U$45*$C215+$V$45,
  $C215&lt;$Q$10, $U$46*$C215+$V$46,
  $C215&lt;$Q$11,  $U$47*$C215+$V$47,
  $C215&lt;$Q$12, $U$48*$C215+$V$48,
  $U$49*$C215+$V$49
)</f>
        <v>3.8</v>
      </c>
      <c r="T215">
        <f t="shared" si="14"/>
        <v>1</v>
      </c>
      <c r="U215">
        <f t="shared" si="15"/>
        <v>0</v>
      </c>
      <c r="V215">
        <f t="shared" si="16"/>
        <v>0</v>
      </c>
      <c r="W215">
        <f t="shared" si="17"/>
        <v>0</v>
      </c>
      <c r="X215">
        <f t="shared" si="18"/>
        <v>0</v>
      </c>
      <c r="Y215">
        <f t="shared" si="19"/>
        <v>0</v>
      </c>
      <c r="Z215">
        <v>1.0032717326557949</v>
      </c>
      <c r="AA215">
        <v>5.6230329916727859</v>
      </c>
      <c r="AB215">
        <v>1.0499502819100446</v>
      </c>
      <c r="AC215" s="129">
        <v>8.9434389934396896E-3</v>
      </c>
      <c r="AD215" s="244" cm="1">
        <f t="array" ref="AD215">_xlfn.SWITCH(TRUE,
  $C215&lt;$Q$5,  $S$61*$C215+$T$61,
  $C215&lt;$Q$6,  $S$62*$C215+$T$62,
  $C215&lt;$Q$7,  $S$63*$C215+$T$63,
  $C215&lt;$Q$8, $S$64*$C215+$T$64,
  $C215&lt;$Q$9, $S$65*$C215+$T$65,
  $C215&lt;$Q$10, $S$66*$C215+$T$66,
  $C215&lt;$Q$11,  $S$67*$C215+$T$67,
  $C215&lt;$Q$12, $S$68*$C215+$T$68,
  $S$69*$C215+$T$69
)</f>
        <v>1.1000000000000001</v>
      </c>
      <c r="AE215" cm="1">
        <f t="array" ref="AE215">_xlfn.SWITCH(TRUE,
  $C215&lt;$Q$5,  $U$61*$C215+$V$61,
  $C215&lt;$Q$6,  $U$62*$C215+$V$62,
  $C215&lt;$Q$7,  $U$63*$C215+$V$63,
  $C215&lt;$Q$8, $U$64*$C215+$V$64,
  $C215&lt;$Q$9, $U$65*$C215+$V$65,
  $C215&lt;$Q$10, $U$66*$C215+$V$66,
  $C215&lt;$Q$11,  $U$67*$C215+$V$67,
  $C215&lt;$Q$12, $U$68*$C215+$V$68,
  $U$69*$C215+$V$69
)</f>
        <v>4</v>
      </c>
      <c r="AF215" cm="1">
        <f t="array" ref="AF215">_xlfn.LET(
  _xlpm.y,$C215,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5" cm="1">
        <f t="array" ref="AG215">_xlfn.LET(
  _xlpm.y,$C215,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5" cm="1">
        <f t="array" ref="AH215">_xlfn.LET(
  _xlpm.y,$C215,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5" cm="1">
        <f t="array" ref="AI215">_xlfn.LET(
  _xlpm.y,$C215,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5" cm="1">
        <f t="array" ref="AJ215">_xlfn.LET(
  _xlpm.y,$C215,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5">
        <f t="shared" si="20"/>
        <v>0</v>
      </c>
      <c r="AL215">
        <v>0.99641837781721088</v>
      </c>
      <c r="AM215">
        <v>5.2709975408092253</v>
      </c>
      <c r="AN215">
        <v>1.0499509050044606</v>
      </c>
      <c r="AO215">
        <v>8.8883674994665977E-3</v>
      </c>
    </row>
    <row r="216" spans="2:41">
      <c r="B216">
        <f>'主翼(型紙出力)'!B59</f>
        <v>8</v>
      </c>
      <c r="C216">
        <f>INT(('主翼(型紙出力)'!C59)*1000)/1000</f>
        <v>1.2</v>
      </c>
      <c r="D216">
        <f>'主翼(型紙出力)'!E59</f>
        <v>0.15</v>
      </c>
      <c r="E216">
        <f>'主翼(重量推算)'!CE56</f>
        <v>5.557326903262136</v>
      </c>
      <c r="F216" s="244" cm="1">
        <f t="array" ref="F216">_xlfn.SWITCH(TRUE,
  $C216&lt;$Q$5,  $S$22*$C216+$T$22,
  $C216&lt;$Q$6,  $S$23*$C216+$T$23,
  $C216&lt;$Q$7,  $S$24*$C216+$T$24,
  $C216&lt;$Q$8, $S$25*$C216+$T$25,
  $C216&lt;$Q$9, $S$26*$C216+$T$26,
  $C216&lt;$Q$10, $S$27*$C216+$T$27,
  $C216&lt;$Q$11,  $S$28*$C216+$T$28,
  $C216&lt;$Q$12, $S$29*$C216+$T$29,
  $S$30*$C216+$T$30
)</f>
        <v>1.1000000000000001</v>
      </c>
      <c r="G216" cm="1">
        <f t="array" ref="G216">_xlfn.SWITCH(TRUE,
  $C216&lt;$Q$5,  $U$22*$C216+$V$22,
  $C216&lt;$Q$6,  $U$23*$C216+$V$23,
  $C216&lt;$Q$7,  $U$24*$C216+$V$24,
  $C216&lt;$Q$8, $U$25*$C216+$V$25,
  $C216&lt;$Q$9, $U$26*$C216+$V$26,
  $C216&lt;$Q$10, $U$27*$C216+$V$27,
  $C216&lt;$Q$11,  $U$28*$C216+$V$28,
  $C216&lt;$Q$12, $U$29*$C216+$V$29,
  $U$30*$C216+$V$30
)</f>
        <v>3.4</v>
      </c>
      <c r="H216" cm="1">
        <f t="array" ref="H216">_xlfn.LET(
  _xlpm.y,$C216,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6" cm="1">
        <f t="array" ref="I216">_xlfn.LET(
  _xlpm.y,$C216,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6" cm="1">
        <f t="array" ref="J216">_xlfn.LET(
  _xlpm.y,$C216,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6" cm="1">
        <f t="array" ref="K216">_xlfn.LET(
  _xlpm.y,$C216,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6" cm="1">
        <f t="array" ref="L216">_xlfn.LET(
  _xlpm.y,$C216,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6" cm="1">
        <f t="array" ref="M216">_xlfn.SWITCH(TRUE,
  $C216&lt;$Q$5,  $D$22,
  $C216&lt;$Q$6,  $D$23,
  $C216&lt;$Q$7,  $D$24,
  $C216&lt;$Q$8,  $D$25,
  $C216&lt;$Q$9,  $D$26,
  $C216&lt;$Q$10,  $D$27,
  $C216&lt;$Q$11,  $D$28,
  $C216&lt;$Q$12,  $D$29,
  $C216&lt;$Q$13,  $D$30,
  $C216&lt;100,  $D$31,
)</f>
        <v>0</v>
      </c>
      <c r="N216">
        <v>1.1647027023142009</v>
      </c>
      <c r="O216">
        <v>5.7256744236930874</v>
      </c>
      <c r="P216">
        <v>1.1999150070107683</v>
      </c>
      <c r="Q216" s="129">
        <v>1.2501848156116421E-2</v>
      </c>
      <c r="R216" s="244" cm="1">
        <f t="array" ref="R216">_xlfn.SWITCH(TRUE,
  $C216&lt;$Q$5,  $S$41*$C216+$T$41,
  $C216&lt;$Q$6,  $S$42*$C216+$T$42,
  $C216&lt;$Q$7,  $S$43*$C216+$T$43,
  $C216&lt;$Q$8, $S$44*$C216+$T$44,
  $C216&lt;$Q$9, $S$45*$C216+$T$45,
  $C216&lt;$Q$10, $S$46*$C216+$T$46,
  $C216&lt;$Q$11,  $S$47*$C216+$T$47,
  $C216&lt;$Q$12, $S$48*$C216+$T$48,
  $S$49*$C216+$T$49
)</f>
        <v>1.1000000000000001</v>
      </c>
      <c r="S216" cm="1">
        <f t="array" ref="S216">_xlfn.SWITCH(TRUE,
  $C216&lt;$Q$5,  $U$41*$C216+$V$41,
  $C216&lt;$Q$6,  $U$42*$C216+$V$42,
  $C216&lt;$Q$7,  $U$43*$C216+$V$43,
  $C216&lt;$Q$8, $U$44*$C216+$V$44,
  $C216&lt;$Q$9, $U$45*$C216+$V$45,
  $C216&lt;$Q$10, $U$46*$C216+$V$46,
  $C216&lt;$Q$11,  $U$47*$C216+$V$47,
  $C216&lt;$Q$12, $U$48*$C216+$V$48,
  $U$49*$C216+$V$49
)</f>
        <v>3.8</v>
      </c>
      <c r="T216">
        <f t="shared" si="14"/>
        <v>1</v>
      </c>
      <c r="U216">
        <f t="shared" si="15"/>
        <v>0</v>
      </c>
      <c r="V216">
        <f t="shared" si="16"/>
        <v>0</v>
      </c>
      <c r="W216">
        <f t="shared" si="17"/>
        <v>0</v>
      </c>
      <c r="X216">
        <f t="shared" si="18"/>
        <v>0</v>
      </c>
      <c r="Y216">
        <f t="shared" si="19"/>
        <v>0</v>
      </c>
      <c r="Z216">
        <v>1.0752784711519459</v>
      </c>
      <c r="AA216">
        <v>5.6106187119313313</v>
      </c>
      <c r="AB216">
        <v>1.1999272864525641</v>
      </c>
      <c r="AC216" s="129">
        <v>1.1569864026274572E-2</v>
      </c>
      <c r="AD216" s="244" cm="1">
        <f t="array" ref="AD216">_xlfn.SWITCH(TRUE,
  $C216&lt;$Q$5,  $S$61*$C216+$T$61,
  $C216&lt;$Q$6,  $S$62*$C216+$T$62,
  $C216&lt;$Q$7,  $S$63*$C216+$T$63,
  $C216&lt;$Q$8, $S$64*$C216+$T$64,
  $C216&lt;$Q$9, $S$65*$C216+$T$65,
  $C216&lt;$Q$10, $S$66*$C216+$T$66,
  $C216&lt;$Q$11,  $S$67*$C216+$T$67,
  $C216&lt;$Q$12, $S$68*$C216+$T$68,
  $S$69*$C216+$T$69
)</f>
        <v>1.1000000000000001</v>
      </c>
      <c r="AE216" cm="1">
        <f t="array" ref="AE216">_xlfn.SWITCH(TRUE,
  $C216&lt;$Q$5,  $U$61*$C216+$V$61,
  $C216&lt;$Q$6,  $U$62*$C216+$V$62,
  $C216&lt;$Q$7,  $U$63*$C216+$V$63,
  $C216&lt;$Q$8, $U$64*$C216+$V$64,
  $C216&lt;$Q$9, $U$65*$C216+$V$65,
  $C216&lt;$Q$10, $U$66*$C216+$V$66,
  $C216&lt;$Q$11,  $U$67*$C216+$V$67,
  $C216&lt;$Q$12, $U$68*$C216+$V$68,
  $U$69*$C216+$V$69
)</f>
        <v>4</v>
      </c>
      <c r="AF216" cm="1">
        <f t="array" ref="AF216">_xlfn.LET(
  _xlpm.y,$C216,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6" cm="1">
        <f t="array" ref="AG216">_xlfn.LET(
  _xlpm.y,$C216,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6" cm="1">
        <f t="array" ref="AH216">_xlfn.LET(
  _xlpm.y,$C216,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6" cm="1">
        <f t="array" ref="AI216">_xlfn.LET(
  _xlpm.y,$C216,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6" cm="1">
        <f t="array" ref="AJ216">_xlfn.LET(
  _xlpm.y,$C216,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6">
        <f t="shared" si="20"/>
        <v>0</v>
      </c>
      <c r="AL216">
        <v>1.0677812998408494</v>
      </c>
      <c r="AM216">
        <v>5.2583756654804752</v>
      </c>
      <c r="AN216">
        <v>1.1999282226302588</v>
      </c>
      <c r="AO216">
        <v>1.1496853223114072E-2</v>
      </c>
    </row>
    <row r="217" spans="2:41">
      <c r="B217">
        <f>'主翼(型紙出力)'!B60</f>
        <v>9</v>
      </c>
      <c r="C217">
        <f>INT(('主翼(型紙出力)'!C60)*1000)/1000</f>
        <v>1.35</v>
      </c>
      <c r="D217">
        <f>'主翼(型紙出力)'!E60</f>
        <v>0.17499999999999999</v>
      </c>
      <c r="E217">
        <f>'主翼(重量推算)'!CE57</f>
        <v>6.1913794109745526</v>
      </c>
      <c r="F217" s="244" cm="1">
        <f t="array" ref="F217">_xlfn.SWITCH(TRUE,
  $C217&lt;$Q$5,  $S$22*$C217+$T$22,
  $C217&lt;$Q$6,  $S$23*$C217+$T$23,
  $C217&lt;$Q$7,  $S$24*$C217+$T$24,
  $C217&lt;$Q$8, $S$25*$C217+$T$25,
  $C217&lt;$Q$9, $S$26*$C217+$T$26,
  $C217&lt;$Q$10, $S$27*$C217+$T$27,
  $C217&lt;$Q$11,  $S$28*$C217+$T$28,
  $C217&lt;$Q$12, $S$29*$C217+$T$29,
  $S$30*$C217+$T$30
)</f>
        <v>1.1000000000000001</v>
      </c>
      <c r="G217" cm="1">
        <f t="array" ref="G217">_xlfn.SWITCH(TRUE,
  $C217&lt;$Q$5,  $U$22*$C217+$V$22,
  $C217&lt;$Q$6,  $U$23*$C217+$V$23,
  $C217&lt;$Q$7,  $U$24*$C217+$V$24,
  $C217&lt;$Q$8, $U$25*$C217+$V$25,
  $C217&lt;$Q$9, $U$26*$C217+$V$26,
  $C217&lt;$Q$10, $U$27*$C217+$V$27,
  $C217&lt;$Q$11,  $U$28*$C217+$V$28,
  $C217&lt;$Q$12, $U$29*$C217+$V$29,
  $U$30*$C217+$V$30
)</f>
        <v>3.4</v>
      </c>
      <c r="H217" cm="1">
        <f t="array" ref="H217">_xlfn.LET(
  _xlpm.y,$C217,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7" cm="1">
        <f t="array" ref="I217">_xlfn.LET(
  _xlpm.y,$C217,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7" cm="1">
        <f t="array" ref="J217">_xlfn.LET(
  _xlpm.y,$C217,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7" cm="1">
        <f t="array" ref="K217">_xlfn.LET(
  _xlpm.y,$C217,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7" cm="1">
        <f t="array" ref="L217">_xlfn.LET(
  _xlpm.y,$C217,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7" cm="1">
        <f t="array" ref="M217">_xlfn.SWITCH(TRUE,
  $C217&lt;$Q$5,  $D$22,
  $C217&lt;$Q$6,  $D$23,
  $C217&lt;$Q$7,  $D$24,
  $C217&lt;$Q$8,  $D$25,
  $C217&lt;$Q$9,  $D$26,
  $C217&lt;$Q$10,  $D$27,
  $C217&lt;$Q$11,  $D$28,
  $C217&lt;$Q$12,  $D$29,
  $C217&lt;$Q$13,  $D$30,
  $C217&lt;100,  $D$31,
)</f>
        <v>0</v>
      </c>
      <c r="N217">
        <v>1.1874411496596222</v>
      </c>
      <c r="O217">
        <v>5.7212153059704516</v>
      </c>
      <c r="P217">
        <v>1.3498840163233452</v>
      </c>
      <c r="Q217" s="129">
        <v>1.555082270572908E-2</v>
      </c>
      <c r="R217" s="244" cm="1">
        <f t="array" ref="R217">_xlfn.SWITCH(TRUE,
  $C217&lt;$Q$5,  $S$41*$C217+$T$41,
  $C217&lt;$Q$6,  $S$42*$C217+$T$42,
  $C217&lt;$Q$7,  $S$43*$C217+$T$43,
  $C217&lt;$Q$8, $S$44*$C217+$T$44,
  $C217&lt;$Q$9, $S$45*$C217+$T$45,
  $C217&lt;$Q$10, $S$46*$C217+$T$46,
  $C217&lt;$Q$11,  $S$47*$C217+$T$47,
  $C217&lt;$Q$12, $S$48*$C217+$T$48,
  $S$49*$C217+$T$49
)</f>
        <v>1.1000000000000001</v>
      </c>
      <c r="S217" cm="1">
        <f t="array" ref="S217">_xlfn.SWITCH(TRUE,
  $C217&lt;$Q$5,  $U$41*$C217+$V$41,
  $C217&lt;$Q$6,  $U$42*$C217+$V$42,
  $C217&lt;$Q$7,  $U$43*$C217+$V$43,
  $C217&lt;$Q$8, $U$44*$C217+$V$44,
  $C217&lt;$Q$9, $U$45*$C217+$V$45,
  $C217&lt;$Q$10, $U$46*$C217+$V$46,
  $C217&lt;$Q$11,  $U$47*$C217+$V$47,
  $C217&lt;$Q$12, $U$48*$C217+$V$48,
  $U$49*$C217+$V$49
)</f>
        <v>3.8</v>
      </c>
      <c r="T217">
        <f t="shared" si="14"/>
        <v>1</v>
      </c>
      <c r="U217">
        <f t="shared" si="15"/>
        <v>0</v>
      </c>
      <c r="V217">
        <f t="shared" si="16"/>
        <v>0</v>
      </c>
      <c r="W217">
        <f t="shared" si="17"/>
        <v>0</v>
      </c>
      <c r="X217">
        <f t="shared" si="18"/>
        <v>0</v>
      </c>
      <c r="Y217">
        <f t="shared" si="19"/>
        <v>0</v>
      </c>
      <c r="Z217">
        <v>1.096070830142756</v>
      </c>
      <c r="AA217">
        <v>5.5940273095976067</v>
      </c>
      <c r="AB217">
        <v>1.3499008717847789</v>
      </c>
      <c r="AC217" s="129">
        <v>1.4384771236271569E-2</v>
      </c>
      <c r="AD217" s="244" cm="1">
        <f t="array" ref="AD217">_xlfn.SWITCH(TRUE,
  $C217&lt;$Q$5,  $S$61*$C217+$T$61,
  $C217&lt;$Q$6,  $S$62*$C217+$T$62,
  $C217&lt;$Q$7,  $S$63*$C217+$T$63,
  $C217&lt;$Q$8, $S$64*$C217+$T$64,
  $C217&lt;$Q$9, $S$65*$C217+$T$65,
  $C217&lt;$Q$10, $S$66*$C217+$T$66,
  $C217&lt;$Q$11,  $S$67*$C217+$T$67,
  $C217&lt;$Q$12, $S$68*$C217+$T$68,
  $S$69*$C217+$T$69
)</f>
        <v>1.1000000000000001</v>
      </c>
      <c r="AE217" cm="1">
        <f t="array" ref="AE217">_xlfn.SWITCH(TRUE,
  $C217&lt;$Q$5,  $U$61*$C217+$V$61,
  $C217&lt;$Q$6,  $U$62*$C217+$V$62,
  $C217&lt;$Q$7,  $U$63*$C217+$V$63,
  $C217&lt;$Q$8, $U$64*$C217+$V$64,
  $C217&lt;$Q$9, $U$65*$C217+$V$65,
  $C217&lt;$Q$10, $U$66*$C217+$V$66,
  $C217&lt;$Q$11,  $U$67*$C217+$V$67,
  $C217&lt;$Q$12, $U$68*$C217+$V$68,
  $U$69*$C217+$V$69
)</f>
        <v>4</v>
      </c>
      <c r="AF217" cm="1">
        <f t="array" ref="AF217">_xlfn.LET(
  _xlpm.y,$C217,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7" cm="1">
        <f t="array" ref="AG217">_xlfn.LET(
  _xlpm.y,$C217,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7" cm="1">
        <f t="array" ref="AH217">_xlfn.LET(
  _xlpm.y,$C217,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7" cm="1">
        <f t="array" ref="AI217">_xlfn.LET(
  _xlpm.y,$C217,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7" cm="1">
        <f t="array" ref="AJ217">_xlfn.LET(
  _xlpm.y,$C217,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7">
        <f t="shared" si="20"/>
        <v>0</v>
      </c>
      <c r="AL217">
        <v>1.0883720924813101</v>
      </c>
      <c r="AM217">
        <v>5.2402239860358861</v>
      </c>
      <c r="AN217">
        <v>1.3499021750100835</v>
      </c>
      <c r="AO217">
        <v>1.4292136316842053E-2</v>
      </c>
    </row>
    <row r="218" spans="2:41">
      <c r="B218">
        <f>'主翼(型紙出力)'!B61</f>
        <v>10</v>
      </c>
      <c r="C218">
        <f>INT(('主翼(型紙出力)'!C61)*1000)/1000</f>
        <v>1.5249999999999999</v>
      </c>
      <c r="D218">
        <f>'主翼(型紙出力)'!E61</f>
        <v>0.15</v>
      </c>
      <c r="E218">
        <f>'主翼(重量推算)'!CE58</f>
        <v>3.5418440679382317</v>
      </c>
      <c r="F218" s="244" cm="1">
        <f t="array" ref="F218">_xlfn.SWITCH(TRUE,
  $C218&lt;$Q$5,  $S$22*$C218+$T$22,
  $C218&lt;$Q$6,  $S$23*$C218+$T$23,
  $C218&lt;$Q$7,  $S$24*$C218+$T$24,
  $C218&lt;$Q$8, $S$25*$C218+$T$25,
  $C218&lt;$Q$9, $S$26*$C218+$T$26,
  $C218&lt;$Q$10, $S$27*$C218+$T$27,
  $C218&lt;$Q$11,  $S$28*$C218+$T$28,
  $C218&lt;$Q$12, $S$29*$C218+$T$29,
  $S$30*$C218+$T$30
)</f>
        <v>1.1000000000000001</v>
      </c>
      <c r="G218" cm="1">
        <f t="array" ref="G218">_xlfn.SWITCH(TRUE,
  $C218&lt;$Q$5,  $U$22*$C218+$V$22,
  $C218&lt;$Q$6,  $U$23*$C218+$V$23,
  $C218&lt;$Q$7,  $U$24*$C218+$V$24,
  $C218&lt;$Q$8, $U$25*$C218+$V$25,
  $C218&lt;$Q$9, $U$26*$C218+$V$26,
  $C218&lt;$Q$10, $U$27*$C218+$V$27,
  $C218&lt;$Q$11,  $U$28*$C218+$V$28,
  $C218&lt;$Q$12, $U$29*$C218+$V$29,
  $U$30*$C218+$V$30
)</f>
        <v>3.4</v>
      </c>
      <c r="H218" cm="1">
        <f t="array" ref="H218">_xlfn.LET(
  _xlpm.y,$C218,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8" cm="1">
        <f t="array" ref="I218">_xlfn.LET(
  _xlpm.y,$C218,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8" cm="1">
        <f t="array" ref="J218">_xlfn.LET(
  _xlpm.y,$C218,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8" cm="1">
        <f t="array" ref="K218">_xlfn.LET(
  _xlpm.y,$C218,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8" cm="1">
        <f t="array" ref="L218">_xlfn.LET(
  _xlpm.y,$C218,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8" cm="1">
        <f t="array" ref="M218">_xlfn.SWITCH(TRUE,
  $C218&lt;$Q$5,  $D$22,
  $C218&lt;$Q$6,  $D$23,
  $C218&lt;$Q$7,  $D$24,
  $C218&lt;$Q$8,  $D$25,
  $C218&lt;$Q$9,  $D$26,
  $C218&lt;$Q$10,  $D$27,
  $C218&lt;$Q$11,  $D$28,
  $C218&lt;$Q$12,  $D$29,
  $C218&lt;$Q$13,  $D$30,
  $C218&lt;100,  $D$31,
)</f>
        <v>0</v>
      </c>
      <c r="N218">
        <v>1.2048564796299406</v>
      </c>
      <c r="O218">
        <v>5.7164925104643673</v>
      </c>
      <c r="P218">
        <v>1.5248464350549906</v>
      </c>
      <c r="Q218" s="129">
        <v>1.9177395684782723E-2</v>
      </c>
      <c r="R218" s="244" cm="1">
        <f t="array" ref="R218">_xlfn.SWITCH(TRUE,
  $C218&lt;$Q$5,  $S$41*$C218+$T$41,
  $C218&lt;$Q$6,  $S$42*$C218+$T$42,
  $C218&lt;$Q$7,  $S$43*$C218+$T$43,
  $C218&lt;$Q$8, $S$44*$C218+$T$44,
  $C218&lt;$Q$9, $S$45*$C218+$T$45,
  $C218&lt;$Q$10, $S$46*$C218+$T$46,
  $C218&lt;$Q$11,  $S$47*$C218+$T$47,
  $C218&lt;$Q$12, $S$48*$C218+$T$48,
  $S$49*$C218+$T$49
)</f>
        <v>1.1000000000000001</v>
      </c>
      <c r="S218" cm="1">
        <f t="array" ref="S218">_xlfn.SWITCH(TRUE,
  $C218&lt;$Q$5,  $U$41*$C218+$V$41,
  $C218&lt;$Q$6,  $U$42*$C218+$V$42,
  $C218&lt;$Q$7,  $U$43*$C218+$V$43,
  $C218&lt;$Q$8, $U$44*$C218+$V$44,
  $C218&lt;$Q$9, $U$45*$C218+$V$45,
  $C218&lt;$Q$10, $U$46*$C218+$V$46,
  $C218&lt;$Q$11,  $U$47*$C218+$V$47,
  $C218&lt;$Q$12, $U$48*$C218+$V$48,
  $U$49*$C218+$V$49
)</f>
        <v>3.8</v>
      </c>
      <c r="T218">
        <f t="shared" si="14"/>
        <v>1</v>
      </c>
      <c r="U218">
        <f t="shared" si="15"/>
        <v>0</v>
      </c>
      <c r="V218">
        <f t="shared" si="16"/>
        <v>0</v>
      </c>
      <c r="W218">
        <f t="shared" si="17"/>
        <v>0</v>
      </c>
      <c r="X218">
        <f t="shared" si="18"/>
        <v>0</v>
      </c>
      <c r="Y218">
        <f t="shared" si="19"/>
        <v>0</v>
      </c>
      <c r="Z218">
        <v>1.1119579146772787</v>
      </c>
      <c r="AA218">
        <v>5.5743269090530863</v>
      </c>
      <c r="AB218">
        <v>1.5248688513825088</v>
      </c>
      <c r="AC218" s="129">
        <v>1.7732324893555824E-2</v>
      </c>
      <c r="AD218" s="244" cm="1">
        <f t="array" ref="AD218">_xlfn.SWITCH(TRUE,
  $C218&lt;$Q$5,  $S$61*$C218+$T$61,
  $C218&lt;$Q$6,  $S$62*$C218+$T$62,
  $C218&lt;$Q$7,  $S$63*$C218+$T$63,
  $C218&lt;$Q$8, $S$64*$C218+$T$64,
  $C218&lt;$Q$9, $S$65*$C218+$T$65,
  $C218&lt;$Q$10, $S$66*$C218+$T$66,
  $C218&lt;$Q$11,  $S$67*$C218+$T$67,
  $C218&lt;$Q$12, $S$68*$C218+$T$68,
  $S$69*$C218+$T$69
)</f>
        <v>1.1000000000000001</v>
      </c>
      <c r="AE218" cm="1">
        <f t="array" ref="AE218">_xlfn.SWITCH(TRUE,
  $C218&lt;$Q$5,  $U$61*$C218+$V$61,
  $C218&lt;$Q$6,  $U$62*$C218+$V$62,
  $C218&lt;$Q$7,  $U$63*$C218+$V$63,
  $C218&lt;$Q$8, $U$64*$C218+$V$64,
  $C218&lt;$Q$9, $U$65*$C218+$V$65,
  $C218&lt;$Q$10, $U$66*$C218+$V$66,
  $C218&lt;$Q$11,  $U$67*$C218+$V$67,
  $C218&lt;$Q$12, $U$68*$C218+$V$68,
  $U$69*$C218+$V$69
)</f>
        <v>4</v>
      </c>
      <c r="AF218" cm="1">
        <f t="array" ref="AF218">_xlfn.LET(
  _xlpm.y,$C218,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8" cm="1">
        <f t="array" ref="AG218">_xlfn.LET(
  _xlpm.y,$C218,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8" cm="1">
        <f t="array" ref="AH218">_xlfn.LET(
  _xlpm.y,$C218,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8" cm="1">
        <f t="array" ref="AI218">_xlfn.LET(
  _xlpm.y,$C218,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8" cm="1">
        <f t="array" ref="AJ218">_xlfn.LET(
  _xlpm.y,$C218,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8">
        <f t="shared" si="20"/>
        <v>0</v>
      </c>
      <c r="AL218">
        <v>1.1040937658950423</v>
      </c>
      <c r="AM218">
        <v>5.2178620411324834</v>
      </c>
      <c r="AN218">
        <v>1.5248706028334644</v>
      </c>
      <c r="AO218">
        <v>1.7616179790428028E-2</v>
      </c>
    </row>
    <row r="219" spans="2:41">
      <c r="B219">
        <f>'主翼(型紙出力)'!B62</f>
        <v>11</v>
      </c>
      <c r="C219">
        <f>INT(('主翼(型紙出力)'!C62)*1000)/1000</f>
        <v>1.675</v>
      </c>
      <c r="D219">
        <f>'主翼(型紙出力)'!E62</f>
        <v>0.15</v>
      </c>
      <c r="E219">
        <f>'主翼(重量推算)'!CE59</f>
        <v>3.5206505713782015</v>
      </c>
      <c r="F219" s="244" cm="1">
        <f t="array" ref="F219">_xlfn.SWITCH(TRUE,
  $C219&lt;$Q$5,  $S$22*$C219+$T$22,
  $C219&lt;$Q$6,  $S$23*$C219+$T$23,
  $C219&lt;$Q$7,  $S$24*$C219+$T$24,
  $C219&lt;$Q$8, $S$25*$C219+$T$25,
  $C219&lt;$Q$9, $S$26*$C219+$T$26,
  $C219&lt;$Q$10, $S$27*$C219+$T$27,
  $C219&lt;$Q$11,  $S$28*$C219+$T$28,
  $C219&lt;$Q$12, $S$29*$C219+$T$29,
  $S$30*$C219+$T$30
)</f>
        <v>1.1000000000000001</v>
      </c>
      <c r="G219" cm="1">
        <f t="array" ref="G219">_xlfn.SWITCH(TRUE,
  $C219&lt;$Q$5,  $U$22*$C219+$V$22,
  $C219&lt;$Q$6,  $U$23*$C219+$V$23,
  $C219&lt;$Q$7,  $U$24*$C219+$V$24,
  $C219&lt;$Q$8, $U$25*$C219+$V$25,
  $C219&lt;$Q$9, $U$26*$C219+$V$26,
  $C219&lt;$Q$10, $U$27*$C219+$V$27,
  $C219&lt;$Q$11,  $U$28*$C219+$V$28,
  $C219&lt;$Q$12, $U$29*$C219+$V$29,
  $U$30*$C219+$V$30
)</f>
        <v>3.4</v>
      </c>
      <c r="H219" cm="1">
        <f t="array" ref="H219">_xlfn.LET(
  _xlpm.y,$C219,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9" cm="1">
        <f t="array" ref="I219">_xlfn.LET(
  _xlpm.y,$C219,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9" cm="1">
        <f t="array" ref="J219">_xlfn.LET(
  _xlpm.y,$C219,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9" cm="1">
        <f t="array" ref="K219">_xlfn.LET(
  _xlpm.y,$C219,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9" cm="1">
        <f t="array" ref="L219">_xlfn.LET(
  _xlpm.y,$C219,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9" cm="1">
        <f t="array" ref="M219">_xlfn.SWITCH(TRUE,
  $C219&lt;$Q$5,  $D$22,
  $C219&lt;$Q$6,  $D$23,
  $C219&lt;$Q$7,  $D$24,
  $C219&lt;$Q$8,  $D$25,
  $C219&lt;$Q$9,  $D$26,
  $C219&lt;$Q$10,  $D$27,
  $C219&lt;$Q$11,  $D$28,
  $C219&lt;$Q$12,  $D$29,
  $C219&lt;$Q$13,  $D$30,
  $C219&lt;100,  $D$31,
)</f>
        <v>0</v>
      </c>
      <c r="N219">
        <v>1.2276819574791338</v>
      </c>
      <c r="O219">
        <v>5.7115702234162349</v>
      </c>
      <c r="P219">
        <v>1.6748132707706711</v>
      </c>
      <c r="Q219" s="129">
        <v>2.2331470101484618E-2</v>
      </c>
      <c r="R219" s="244" cm="1">
        <f t="array" ref="R219">_xlfn.SWITCH(TRUE,
  $C219&lt;$Q$5,  $S$41*$C219+$T$41,
  $C219&lt;$Q$6,  $S$42*$C219+$T$42,
  $C219&lt;$Q$7,  $S$43*$C219+$T$43,
  $C219&lt;$Q$8, $S$44*$C219+$T$44,
  $C219&lt;$Q$9, $S$45*$C219+$T$45,
  $C219&lt;$Q$10, $S$46*$C219+$T$46,
  $C219&lt;$Q$11,  $S$47*$C219+$T$47,
  $C219&lt;$Q$12, $S$48*$C219+$T$48,
  $S$49*$C219+$T$49
)</f>
        <v>1.1000000000000001</v>
      </c>
      <c r="S219" cm="1">
        <f t="array" ref="S219">_xlfn.SWITCH(TRUE,
  $C219&lt;$Q$5,  $U$41*$C219+$V$41,
  $C219&lt;$Q$6,  $U$42*$C219+$V$42,
  $C219&lt;$Q$7,  $U$43*$C219+$V$43,
  $C219&lt;$Q$8, $U$44*$C219+$V$44,
  $C219&lt;$Q$9, $U$45*$C219+$V$45,
  $C219&lt;$Q$10, $U$46*$C219+$V$46,
  $C219&lt;$Q$11,  $U$47*$C219+$V$47,
  $C219&lt;$Q$12, $U$48*$C219+$V$48,
  $U$49*$C219+$V$49
)</f>
        <v>3.8</v>
      </c>
      <c r="T219">
        <f t="shared" si="14"/>
        <v>1</v>
      </c>
      <c r="U219">
        <f t="shared" si="15"/>
        <v>0</v>
      </c>
      <c r="V219">
        <f t="shared" si="16"/>
        <v>0</v>
      </c>
      <c r="W219">
        <f t="shared" si="17"/>
        <v>0</v>
      </c>
      <c r="X219">
        <f t="shared" si="18"/>
        <v>0</v>
      </c>
      <c r="Y219">
        <f t="shared" si="19"/>
        <v>0</v>
      </c>
      <c r="Z219">
        <v>1.1327313770334535</v>
      </c>
      <c r="AA219">
        <v>5.5535190073541987</v>
      </c>
      <c r="AB219">
        <v>1.6748406039442463</v>
      </c>
      <c r="AC219" s="129">
        <v>2.0643241168716103E-2</v>
      </c>
      <c r="AD219" s="244" cm="1">
        <f t="array" ref="AD219">_xlfn.SWITCH(TRUE,
  $C219&lt;$Q$5,  $S$61*$C219+$T$61,
  $C219&lt;$Q$6,  $S$62*$C219+$T$62,
  $C219&lt;$Q$7,  $S$63*$C219+$T$63,
  $C219&lt;$Q$8, $S$64*$C219+$T$64,
  $C219&lt;$Q$9, $S$65*$C219+$T$65,
  $C219&lt;$Q$10, $S$66*$C219+$T$66,
  $C219&lt;$Q$11,  $S$67*$C219+$T$67,
  $C219&lt;$Q$12, $S$68*$C219+$T$68,
  $S$69*$C219+$T$69
)</f>
        <v>1.1000000000000001</v>
      </c>
      <c r="AE219" cm="1">
        <f t="array" ref="AE219">_xlfn.SWITCH(TRUE,
  $C219&lt;$Q$5,  $U$61*$C219+$V$61,
  $C219&lt;$Q$6,  $U$62*$C219+$V$62,
  $C219&lt;$Q$7,  $U$63*$C219+$V$63,
  $C219&lt;$Q$8, $U$64*$C219+$V$64,
  $C219&lt;$Q$9, $U$65*$C219+$V$65,
  $C219&lt;$Q$10, $U$66*$C219+$V$66,
  $C219&lt;$Q$11,  $U$67*$C219+$V$67,
  $C219&lt;$Q$12, $U$68*$C219+$V$68,
  $U$69*$C219+$V$69
)</f>
        <v>4</v>
      </c>
      <c r="AF219" cm="1">
        <f t="array" ref="AF219">_xlfn.LET(
  _xlpm.y,$C219,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9" cm="1">
        <f t="array" ref="AG219">_xlfn.LET(
  _xlpm.y,$C219,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9" cm="1">
        <f t="array" ref="AH219">_xlfn.LET(
  _xlpm.y,$C219,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9" cm="1">
        <f t="array" ref="AI219">_xlfn.LET(
  _xlpm.y,$C219,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9" cm="1">
        <f t="array" ref="AJ219">_xlfn.LET(
  _xlpm.y,$C219,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9">
        <f t="shared" si="20"/>
        <v>0</v>
      </c>
      <c r="AL219">
        <v>1.1246357246885452</v>
      </c>
      <c r="AM219">
        <v>5.1938545786943422</v>
      </c>
      <c r="AN219">
        <v>1.6748427535211956</v>
      </c>
      <c r="AO219">
        <v>2.0506511621976337E-2</v>
      </c>
    </row>
    <row r="220" spans="2:41">
      <c r="B220">
        <f>'主翼(型紙出力)'!B63</f>
        <v>12</v>
      </c>
      <c r="C220">
        <f>INT(('主翼(型紙出力)'!C63)*1000)/1000</f>
        <v>1.825</v>
      </c>
      <c r="D220">
        <f>'主翼(型紙出力)'!E63</f>
        <v>0.15</v>
      </c>
      <c r="E220">
        <f>'主翼(重量推算)'!CE60</f>
        <v>2.511239508040255</v>
      </c>
      <c r="F220" s="244" cm="1">
        <f t="array" ref="F220">_xlfn.SWITCH(TRUE,
  $C220&lt;$Q$5,  $S$22*$C220+$T$22,
  $C220&lt;$Q$6,  $S$23*$C220+$T$23,
  $C220&lt;$Q$7,  $S$24*$C220+$T$24,
  $C220&lt;$Q$8, $S$25*$C220+$T$25,
  $C220&lt;$Q$9, $S$26*$C220+$T$26,
  $C220&lt;$Q$10, $S$27*$C220+$T$27,
  $C220&lt;$Q$11,  $S$28*$C220+$T$28,
  $C220&lt;$Q$12, $S$29*$C220+$T$29,
  $S$30*$C220+$T$30
)</f>
        <v>1.1000000000000001</v>
      </c>
      <c r="G220" cm="1">
        <f t="array" ref="G220">_xlfn.SWITCH(TRUE,
  $C220&lt;$Q$5,  $U$22*$C220+$V$22,
  $C220&lt;$Q$6,  $U$23*$C220+$V$23,
  $C220&lt;$Q$7,  $U$24*$C220+$V$24,
  $C220&lt;$Q$8, $U$25*$C220+$V$25,
  $C220&lt;$Q$9, $U$26*$C220+$V$26,
  $C220&lt;$Q$10, $U$27*$C220+$V$27,
  $C220&lt;$Q$11,  $U$28*$C220+$V$28,
  $C220&lt;$Q$12, $U$29*$C220+$V$29,
  $U$30*$C220+$V$30
)</f>
        <v>3.4</v>
      </c>
      <c r="H220" cm="1">
        <f t="array" ref="H220">_xlfn.LET(
  _xlpm.y,$C220,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0" cm="1">
        <f t="array" ref="I220">_xlfn.LET(
  _xlpm.y,$C220,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0" cm="1">
        <f t="array" ref="J220">_xlfn.LET(
  _xlpm.y,$C220,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0" cm="1">
        <f t="array" ref="K220">_xlfn.LET(
  _xlpm.y,$C220,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0" cm="1">
        <f t="array" ref="L220">_xlfn.LET(
  _xlpm.y,$C220,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0" cm="1">
        <f t="array" ref="M220">_xlfn.SWITCH(TRUE,
  $C220&lt;$Q$5,  $D$22,
  $C220&lt;$Q$6,  $D$23,
  $C220&lt;$Q$7,  $D$24,
  $C220&lt;$Q$8,  $D$25,
  $C220&lt;$Q$9,  $D$26,
  $C220&lt;$Q$10,  $D$27,
  $C220&lt;$Q$11,  $D$28,
  $C220&lt;$Q$12,  $D$29,
  $C220&lt;$Q$13,  $D$30,
  $C220&lt;100,  $D$31,
)</f>
        <v>0</v>
      </c>
      <c r="N220">
        <v>1.2909384440276135</v>
      </c>
      <c r="O220">
        <v>5.7058306810624515</v>
      </c>
      <c r="P220">
        <v>1.8247788380666834</v>
      </c>
      <c r="Q220" s="129">
        <v>2.5545288015612698E-2</v>
      </c>
      <c r="R220" s="244" cm="1">
        <f t="array" ref="R220">_xlfn.SWITCH(TRUE,
  $C220&lt;$Q$5,  $S$41*$C220+$T$41,
  $C220&lt;$Q$6,  $S$42*$C220+$T$42,
  $C220&lt;$Q$7,  $S$43*$C220+$T$43,
  $C220&lt;$Q$8, $S$44*$C220+$T$44,
  $C220&lt;$Q$9, $S$45*$C220+$T$45,
  $C220&lt;$Q$10, $S$46*$C220+$T$46,
  $C220&lt;$Q$11,  $S$47*$C220+$T$47,
  $C220&lt;$Q$12, $S$48*$C220+$T$48,
  $S$49*$C220+$T$49
)</f>
        <v>1.1000000000000001</v>
      </c>
      <c r="S220" cm="1">
        <f t="array" ref="S220">_xlfn.SWITCH(TRUE,
  $C220&lt;$Q$5,  $U$41*$C220+$V$41,
  $C220&lt;$Q$6,  $U$42*$C220+$V$42,
  $C220&lt;$Q$7,  $U$43*$C220+$V$43,
  $C220&lt;$Q$8, $U$44*$C220+$V$44,
  $C220&lt;$Q$9, $U$45*$C220+$V$45,
  $C220&lt;$Q$10, $U$46*$C220+$V$46,
  $C220&lt;$Q$11,  $U$47*$C220+$V$47,
  $C220&lt;$Q$12, $U$48*$C220+$V$48,
  $U$49*$C220+$V$49
)</f>
        <v>3.8</v>
      </c>
      <c r="T220">
        <f t="shared" si="14"/>
        <v>1</v>
      </c>
      <c r="U220">
        <f t="shared" si="15"/>
        <v>0</v>
      </c>
      <c r="V220">
        <f t="shared" si="16"/>
        <v>0</v>
      </c>
      <c r="W220">
        <f t="shared" si="17"/>
        <v>0</v>
      </c>
      <c r="X220">
        <f t="shared" si="18"/>
        <v>0</v>
      </c>
      <c r="Y220">
        <f t="shared" si="19"/>
        <v>0</v>
      </c>
      <c r="Z220">
        <v>1.1901667908314271</v>
      </c>
      <c r="AA220">
        <v>5.5303163072510708</v>
      </c>
      <c r="AB220">
        <v>1.8248112912515664</v>
      </c>
      <c r="AC220" s="129">
        <v>2.360853180709167E-2</v>
      </c>
      <c r="AD220" s="244" cm="1">
        <f t="array" ref="AD220">_xlfn.SWITCH(TRUE,
  $C220&lt;$Q$5,  $S$61*$C220+$T$61,
  $C220&lt;$Q$6,  $S$62*$C220+$T$62,
  $C220&lt;$Q$7,  $S$63*$C220+$T$63,
  $C220&lt;$Q$8, $S$64*$C220+$T$64,
  $C220&lt;$Q$9, $S$65*$C220+$T$65,
  $C220&lt;$Q$10, $S$66*$C220+$T$66,
  $C220&lt;$Q$11,  $S$67*$C220+$T$67,
  $C220&lt;$Q$12, $S$68*$C220+$T$68,
  $S$69*$C220+$T$69
)</f>
        <v>1.1000000000000001</v>
      </c>
      <c r="AE220" cm="1">
        <f t="array" ref="AE220">_xlfn.SWITCH(TRUE,
  $C220&lt;$Q$5,  $U$61*$C220+$V$61,
  $C220&lt;$Q$6,  $U$62*$C220+$V$62,
  $C220&lt;$Q$7,  $U$63*$C220+$V$63,
  $C220&lt;$Q$8, $U$64*$C220+$V$64,
  $C220&lt;$Q$9, $U$65*$C220+$V$65,
  $C220&lt;$Q$10, $U$66*$C220+$V$66,
  $C220&lt;$Q$11,  $U$67*$C220+$V$67,
  $C220&lt;$Q$12, $U$68*$C220+$V$68,
  $U$69*$C220+$V$69
)</f>
        <v>4</v>
      </c>
      <c r="AF220" cm="1">
        <f t="array" ref="AF220">_xlfn.LET(
  _xlpm.y,$C220,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20" cm="1">
        <f t="array" ref="AG220">_xlfn.LET(
  _xlpm.y,$C220,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20" cm="1">
        <f t="array" ref="AH220">_xlfn.LET(
  _xlpm.y,$C220,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0" cm="1">
        <f t="array" ref="AI220">_xlfn.LET(
  _xlpm.y,$C220,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0" cm="1">
        <f t="array" ref="AJ220">_xlfn.LET(
  _xlpm.y,$C220,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0">
        <f t="shared" si="20"/>
        <v>0</v>
      </c>
      <c r="AL220">
        <v>1.1813881430286393</v>
      </c>
      <c r="AM220">
        <v>5.1669401402632849</v>
      </c>
      <c r="AN220">
        <v>1.8248138583145483</v>
      </c>
      <c r="AO220">
        <v>2.3450612004304847E-2</v>
      </c>
    </row>
    <row r="221" spans="2:41">
      <c r="B221">
        <f>'主翼(型紙出力)'!B64</f>
        <v>13</v>
      </c>
      <c r="C221">
        <f>INT(('主翼(型紙出力)'!C64)*1000)/1000</f>
        <v>1.9750000000000001</v>
      </c>
      <c r="D221">
        <f>'主翼(型紙出力)'!E64</f>
        <v>0.15</v>
      </c>
      <c r="E221">
        <f>'主翼(重量推算)'!CE61</f>
        <v>2.4898728872055385</v>
      </c>
      <c r="F221" s="244" cm="1">
        <f t="array" ref="F221">_xlfn.SWITCH(TRUE,
  $C221&lt;$Q$5,  $S$22*$C221+$T$22,
  $C221&lt;$Q$6,  $S$23*$C221+$T$23,
  $C221&lt;$Q$7,  $S$24*$C221+$T$24,
  $C221&lt;$Q$8, $S$25*$C221+$T$25,
  $C221&lt;$Q$9, $S$26*$C221+$T$26,
  $C221&lt;$Q$10, $S$27*$C221+$T$27,
  $C221&lt;$Q$11,  $S$28*$C221+$T$28,
  $C221&lt;$Q$12, $S$29*$C221+$T$29,
  $S$30*$C221+$T$30
)</f>
        <v>1.1000000000000001</v>
      </c>
      <c r="G221" cm="1">
        <f t="array" ref="G221">_xlfn.SWITCH(TRUE,
  $C221&lt;$Q$5,  $U$22*$C221+$V$22,
  $C221&lt;$Q$6,  $U$23*$C221+$V$23,
  $C221&lt;$Q$7,  $U$24*$C221+$V$24,
  $C221&lt;$Q$8, $U$25*$C221+$V$25,
  $C221&lt;$Q$9, $U$26*$C221+$V$26,
  $C221&lt;$Q$10, $U$27*$C221+$V$27,
  $C221&lt;$Q$11,  $U$28*$C221+$V$28,
  $C221&lt;$Q$12, $U$29*$C221+$V$29,
  $U$30*$C221+$V$30
)</f>
        <v>3.4</v>
      </c>
      <c r="H221" cm="1">
        <f t="array" ref="H221">_xlfn.LET(
  _xlpm.y,$C221,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1" cm="1">
        <f t="array" ref="I221">_xlfn.LET(
  _xlpm.y,$C221,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1" cm="1">
        <f t="array" ref="J221">_xlfn.LET(
  _xlpm.y,$C221,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1" cm="1">
        <f t="array" ref="K221">_xlfn.LET(
  _xlpm.y,$C221,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1" cm="1">
        <f t="array" ref="L221">_xlfn.LET(
  _xlpm.y,$C221,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1" cm="1">
        <f t="array" ref="M221">_xlfn.SWITCH(TRUE,
  $C221&lt;$Q$5,  $D$22,
  $C221&lt;$Q$6,  $D$23,
  $C221&lt;$Q$7,  $D$24,
  $C221&lt;$Q$8,  $D$25,
  $C221&lt;$Q$9,  $D$26,
  $C221&lt;$Q$10,  $D$27,
  $C221&lt;$Q$11,  $D$28,
  $C221&lt;$Q$12,  $D$29,
  $C221&lt;$Q$13,  $D$30,
  $C221&lt;100,  $D$31,
)</f>
        <v>0</v>
      </c>
      <c r="N221">
        <v>1.3886539410612051</v>
      </c>
      <c r="O221">
        <v>5.6990322468600416</v>
      </c>
      <c r="P221">
        <v>1.9747407658034566</v>
      </c>
      <c r="Q221" s="129">
        <v>2.8924671017111932E-2</v>
      </c>
      <c r="R221" s="244" cm="1">
        <f t="array" ref="R221">_xlfn.SWITCH(TRUE,
  $C221&lt;$Q$5,  $S$41*$C221+$T$41,
  $C221&lt;$Q$6,  $S$42*$C221+$T$42,
  $C221&lt;$Q$7,  $S$43*$C221+$T$43,
  $C221&lt;$Q$8, $S$44*$C221+$T$44,
  $C221&lt;$Q$9, $S$45*$C221+$T$45,
  $C221&lt;$Q$10, $S$46*$C221+$T$46,
  $C221&lt;$Q$11,  $S$47*$C221+$T$47,
  $C221&lt;$Q$12, $S$48*$C221+$T$48,
  $S$49*$C221+$T$49
)</f>
        <v>1.1000000000000001</v>
      </c>
      <c r="S221" cm="1">
        <f t="array" ref="S221">_xlfn.SWITCH(TRUE,
  $C221&lt;$Q$5,  $U$41*$C221+$V$41,
  $C221&lt;$Q$6,  $U$42*$C221+$V$42,
  $C221&lt;$Q$7,  $U$43*$C221+$V$43,
  $C221&lt;$Q$8, $U$44*$C221+$V$44,
  $C221&lt;$Q$9, $U$45*$C221+$V$45,
  $C221&lt;$Q$10, $U$46*$C221+$V$46,
  $C221&lt;$Q$11,  $U$47*$C221+$V$47,
  $C221&lt;$Q$12, $U$48*$C221+$V$48,
  $U$49*$C221+$V$49
)</f>
        <v>3.8</v>
      </c>
      <c r="T221">
        <f t="shared" si="14"/>
        <v>1</v>
      </c>
      <c r="U221">
        <f t="shared" si="15"/>
        <v>0</v>
      </c>
      <c r="V221">
        <f t="shared" si="16"/>
        <v>0</v>
      </c>
      <c r="W221">
        <f t="shared" si="17"/>
        <v>0</v>
      </c>
      <c r="X221">
        <f t="shared" si="18"/>
        <v>0</v>
      </c>
      <c r="Y221">
        <f t="shared" si="19"/>
        <v>0</v>
      </c>
      <c r="Z221">
        <v>1.2787568622649679</v>
      </c>
      <c r="AA221">
        <v>5.5048345491734922</v>
      </c>
      <c r="AB221">
        <v>1.9747789306908283</v>
      </c>
      <c r="AC221" s="129">
        <v>2.6724157107981289E-2</v>
      </c>
      <c r="AD221" s="244" cm="1">
        <f t="array" ref="AD221">_xlfn.SWITCH(TRUE,
  $C221&lt;$Q$5,  $S$61*$C221+$T$61,
  $C221&lt;$Q$6,  $S$62*$C221+$T$62,
  $C221&lt;$Q$7,  $S$63*$C221+$T$63,
  $C221&lt;$Q$8, $S$64*$C221+$T$64,
  $C221&lt;$Q$9, $S$65*$C221+$T$65,
  $C221&lt;$Q$10, $S$66*$C221+$T$66,
  $C221&lt;$Q$11,  $S$67*$C221+$T$67,
  $C221&lt;$Q$12, $S$68*$C221+$T$68,
  $S$69*$C221+$T$69
)</f>
        <v>1.1000000000000001</v>
      </c>
      <c r="AE221" cm="1">
        <f t="array" ref="AE221">_xlfn.SWITCH(TRUE,
  $C221&lt;$Q$5,  $U$61*$C221+$V$61,
  $C221&lt;$Q$6,  $U$62*$C221+$V$62,
  $C221&lt;$Q$7,  $U$63*$C221+$V$63,
  $C221&lt;$Q$8, $U$64*$C221+$V$64,
  $C221&lt;$Q$9, $U$65*$C221+$V$65,
  $C221&lt;$Q$10, $U$66*$C221+$V$66,
  $C221&lt;$Q$11,  $U$67*$C221+$V$67,
  $C221&lt;$Q$12, $U$68*$C221+$V$68,
  $U$69*$C221+$V$69
)</f>
        <v>4</v>
      </c>
      <c r="AF221" cm="1">
        <f t="array" ref="AF221">_xlfn.LET(
  _xlpm.y,$C221,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21" cm="1">
        <f t="array" ref="AG221">_xlfn.LET(
  _xlpm.y,$C221,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21" cm="1">
        <f t="array" ref="AH221">_xlfn.LET(
  _xlpm.y,$C221,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1" cm="1">
        <f t="array" ref="AI221">_xlfn.LET(
  _xlpm.y,$C221,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1" cm="1">
        <f t="array" ref="AJ221">_xlfn.LET(
  _xlpm.y,$C221,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1">
        <f t="shared" si="20"/>
        <v>0</v>
      </c>
      <c r="AL221">
        <v>1.2688809045373433</v>
      </c>
      <c r="AM221">
        <v>5.1374128202235605</v>
      </c>
      <c r="AN221">
        <v>1.9747819733581513</v>
      </c>
      <c r="AO221">
        <v>2.6543259780675246E-2</v>
      </c>
    </row>
    <row r="222" spans="2:41">
      <c r="B222">
        <f>'主翼(型紙出力)'!B65</f>
        <v>14</v>
      </c>
      <c r="C222">
        <f>INT(('主翼(型紙出力)'!C65)*1000)/1000</f>
        <v>2.125</v>
      </c>
      <c r="D222">
        <f>'主翼(型紙出力)'!E65</f>
        <v>0.15</v>
      </c>
      <c r="E222">
        <f>'主翼(重量推算)'!CE62</f>
        <v>2.4685062663708219</v>
      </c>
      <c r="F222" s="244" cm="1">
        <f t="array" ref="F222">_xlfn.SWITCH(TRUE,
  $C222&lt;$Q$5,  $S$22*$C222+$T$22,
  $C222&lt;$Q$6,  $S$23*$C222+$T$23,
  $C222&lt;$Q$7,  $S$24*$C222+$T$24,
  $C222&lt;$Q$8, $S$25*$C222+$T$25,
  $C222&lt;$Q$9, $S$26*$C222+$T$26,
  $C222&lt;$Q$10, $S$27*$C222+$T$27,
  $C222&lt;$Q$11,  $S$28*$C222+$T$28,
  $C222&lt;$Q$12, $S$29*$C222+$T$29,
  $S$30*$C222+$T$30
)</f>
        <v>1.1000000000000001</v>
      </c>
      <c r="G222" cm="1">
        <f t="array" ref="G222">_xlfn.SWITCH(TRUE,
  $C222&lt;$Q$5,  $U$22*$C222+$V$22,
  $C222&lt;$Q$6,  $U$23*$C222+$V$23,
  $C222&lt;$Q$7,  $U$24*$C222+$V$24,
  $C222&lt;$Q$8, $U$25*$C222+$V$25,
  $C222&lt;$Q$9, $U$26*$C222+$V$26,
  $C222&lt;$Q$10, $U$27*$C222+$V$27,
  $C222&lt;$Q$11,  $U$28*$C222+$V$28,
  $C222&lt;$Q$12, $U$29*$C222+$V$29,
  $U$30*$C222+$V$30
)</f>
        <v>3.4</v>
      </c>
      <c r="H222" cm="1">
        <f t="array" ref="H222">_xlfn.LET(
  _xlpm.y,$C222,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2" cm="1">
        <f t="array" ref="I222">_xlfn.LET(
  _xlpm.y,$C222,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2" cm="1">
        <f t="array" ref="J222">_xlfn.LET(
  _xlpm.y,$C222,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2" cm="1">
        <f t="array" ref="K222">_xlfn.LET(
  _xlpm.y,$C222,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2" cm="1">
        <f t="array" ref="L222">_xlfn.LET(
  _xlpm.y,$C222,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2" cm="1">
        <f t="array" ref="M222">_xlfn.SWITCH(TRUE,
  $C222&lt;$Q$5,  $D$22,
  $C222&lt;$Q$6,  $D$23,
  $C222&lt;$Q$7,  $D$24,
  $C222&lt;$Q$8,  $D$25,
  $C222&lt;$Q$9,  $D$26,
  $C222&lt;$Q$10,  $D$27,
  $C222&lt;$Q$11,  $D$28,
  $C222&lt;$Q$12,  $D$29,
  $C222&lt;$Q$13,  $D$30,
  $C222&lt;100,  $D$31,
)</f>
        <v>0</v>
      </c>
      <c r="N222">
        <v>1.4867177836016052</v>
      </c>
      <c r="O222">
        <v>5.6909594796194307</v>
      </c>
      <c r="P222">
        <v>2.1246967120617226</v>
      </c>
      <c r="Q222" s="129">
        <v>3.2559802622427546E-2</v>
      </c>
      <c r="R222" s="244" cm="1">
        <f t="array" ref="R222">_xlfn.SWITCH(TRUE,
  $C222&lt;$Q$5,  $S$41*$C222+$T$41,
  $C222&lt;$Q$6,  $S$42*$C222+$T$42,
  $C222&lt;$Q$7,  $S$43*$C222+$T$43,
  $C222&lt;$Q$8, $S$44*$C222+$T$44,
  $C222&lt;$Q$9, $S$45*$C222+$T$45,
  $C222&lt;$Q$10, $S$46*$C222+$T$46,
  $C222&lt;$Q$11,  $S$47*$C222+$T$47,
  $C222&lt;$Q$12, $S$48*$C222+$T$48,
  $S$49*$C222+$T$49
)</f>
        <v>1.1000000000000001</v>
      </c>
      <c r="S222" cm="1">
        <f t="array" ref="S222">_xlfn.SWITCH(TRUE,
  $C222&lt;$Q$5,  $U$41*$C222+$V$41,
  $C222&lt;$Q$6,  $U$42*$C222+$V$42,
  $C222&lt;$Q$7,  $U$43*$C222+$V$43,
  $C222&lt;$Q$8, $U$44*$C222+$V$44,
  $C222&lt;$Q$9, $U$45*$C222+$V$45,
  $C222&lt;$Q$10, $U$46*$C222+$V$46,
  $C222&lt;$Q$11,  $U$47*$C222+$V$47,
  $C222&lt;$Q$12, $U$48*$C222+$V$48,
  $U$49*$C222+$V$49
)</f>
        <v>3.8</v>
      </c>
      <c r="T222">
        <f t="shared" si="14"/>
        <v>1</v>
      </c>
      <c r="U222">
        <f t="shared" si="15"/>
        <v>0</v>
      </c>
      <c r="V222">
        <f t="shared" si="16"/>
        <v>0</v>
      </c>
      <c r="W222">
        <f t="shared" si="17"/>
        <v>0</v>
      </c>
      <c r="X222">
        <f t="shared" si="18"/>
        <v>0</v>
      </c>
      <c r="Y222">
        <f t="shared" si="19"/>
        <v>0</v>
      </c>
      <c r="Z222">
        <v>1.3674798463623308</v>
      </c>
      <c r="AA222">
        <v>5.4771852022404737</v>
      </c>
      <c r="AB222">
        <v>2.1247415735245321</v>
      </c>
      <c r="AC222" s="129">
        <v>3.0071656821358414E-2</v>
      </c>
      <c r="AD222" s="244" cm="1">
        <f t="array" ref="AD222">_xlfn.SWITCH(TRUE,
  $C222&lt;$Q$5,  $S$61*$C222+$T$61,
  $C222&lt;$Q$6,  $S$62*$C222+$T$62,
  $C222&lt;$Q$7,  $S$63*$C222+$T$63,
  $C222&lt;$Q$8, $S$64*$C222+$T$64,
  $C222&lt;$Q$9, $S$65*$C222+$T$65,
  $C222&lt;$Q$10, $S$66*$C222+$T$66,
  $C222&lt;$Q$11,  $S$67*$C222+$T$67,
  $C222&lt;$Q$12, $S$68*$C222+$T$68,
  $S$69*$C222+$T$69
)</f>
        <v>1.1000000000000001</v>
      </c>
      <c r="AE222" cm="1">
        <f t="array" ref="AE222">_xlfn.SWITCH(TRUE,
  $C222&lt;$Q$5,  $U$61*$C222+$V$61,
  $C222&lt;$Q$6,  $U$62*$C222+$V$62,
  $C222&lt;$Q$7,  $U$63*$C222+$V$63,
  $C222&lt;$Q$8, $U$64*$C222+$V$64,
  $C222&lt;$Q$9, $U$65*$C222+$V$65,
  $C222&lt;$Q$10, $U$66*$C222+$V$66,
  $C222&lt;$Q$11,  $U$67*$C222+$V$67,
  $C222&lt;$Q$12, $U$68*$C222+$V$68,
  $U$69*$C222+$V$69
)</f>
        <v>4</v>
      </c>
      <c r="AF222" cm="1">
        <f t="array" ref="AF222">_xlfn.LET(
  _xlpm.y,$C222,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22" cm="1">
        <f t="array" ref="AG222">_xlfn.LET(
  _xlpm.y,$C222,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22" cm="1">
        <f t="array" ref="AH222">_xlfn.LET(
  _xlpm.y,$C222,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2" cm="1">
        <f t="array" ref="AI222">_xlfn.LET(
  _xlpm.y,$C222,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2" cm="1">
        <f t="array" ref="AJ222">_xlfn.LET(
  _xlpm.y,$C222,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2">
        <f t="shared" si="20"/>
        <v>0</v>
      </c>
      <c r="AL222">
        <v>1.3564433365290363</v>
      </c>
      <c r="AM222">
        <v>5.1055462199290043</v>
      </c>
      <c r="AN222">
        <v>2.1247451909658639</v>
      </c>
      <c r="AO222">
        <v>2.986491068676109E-2</v>
      </c>
    </row>
    <row r="223" spans="2:41">
      <c r="B223">
        <f>'主翼(型紙出力)'!B66</f>
        <v>15</v>
      </c>
      <c r="C223">
        <f>INT(('主翼(型紙出力)'!C66)*1000)/1000</f>
        <v>2.2749999999999999</v>
      </c>
      <c r="D223">
        <f>'主翼(型紙出力)'!E66</f>
        <v>0.15</v>
      </c>
      <c r="E223">
        <f>'主翼(重量推算)'!CE63</f>
        <v>2.4471396455361072</v>
      </c>
      <c r="F223" s="244" cm="1">
        <f t="array" ref="F223">_xlfn.SWITCH(TRUE,
  $C223&lt;$Q$5,  $S$22*$C223+$T$22,
  $C223&lt;$Q$6,  $S$23*$C223+$T$23,
  $C223&lt;$Q$7,  $S$24*$C223+$T$24,
  $C223&lt;$Q$8, $S$25*$C223+$T$25,
  $C223&lt;$Q$9, $S$26*$C223+$T$26,
  $C223&lt;$Q$10, $S$27*$C223+$T$27,
  $C223&lt;$Q$11,  $S$28*$C223+$T$28,
  $C223&lt;$Q$12, $S$29*$C223+$T$29,
  $S$30*$C223+$T$30
)</f>
        <v>1.1000000000000001</v>
      </c>
      <c r="G223" cm="1">
        <f t="array" ref="G223">_xlfn.SWITCH(TRUE,
  $C223&lt;$Q$5,  $U$22*$C223+$V$22,
  $C223&lt;$Q$6,  $U$23*$C223+$V$23,
  $C223&lt;$Q$7,  $U$24*$C223+$V$24,
  $C223&lt;$Q$8, $U$25*$C223+$V$25,
  $C223&lt;$Q$9, $U$26*$C223+$V$26,
  $C223&lt;$Q$10, $U$27*$C223+$V$27,
  $C223&lt;$Q$11,  $U$28*$C223+$V$28,
  $C223&lt;$Q$12, $U$29*$C223+$V$29,
  $U$30*$C223+$V$30
)</f>
        <v>3.4</v>
      </c>
      <c r="H223" cm="1">
        <f t="array" ref="H223">_xlfn.LET(
  _xlpm.y,$C223,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3" cm="1">
        <f t="array" ref="I223">_xlfn.LET(
  _xlpm.y,$C223,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3" cm="1">
        <f t="array" ref="J223">_xlfn.LET(
  _xlpm.y,$C223,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3" cm="1">
        <f t="array" ref="K223">_xlfn.LET(
  _xlpm.y,$C223,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3" cm="1">
        <f t="array" ref="L223">_xlfn.LET(
  _xlpm.y,$C223,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3" cm="1">
        <f t="array" ref="M223">_xlfn.SWITCH(TRUE,
  $C223&lt;$Q$5,  $D$22,
  $C223&lt;$Q$6,  $D$23,
  $C223&lt;$Q$7,  $D$24,
  $C223&lt;$Q$8,  $D$25,
  $C223&lt;$Q$9,  $D$26,
  $C223&lt;$Q$10,  $D$27,
  $C223&lt;$Q$11,  $D$28,
  $C223&lt;$Q$12,  $D$29,
  $C223&lt;$Q$13,  $D$30,
  $C223&lt;100,  $D$31,
)</f>
        <v>0</v>
      </c>
      <c r="N223">
        <v>1.5851296917326003</v>
      </c>
      <c r="O223">
        <v>5.6814220816290515</v>
      </c>
      <c r="P223">
        <v>2.2746462170237192</v>
      </c>
      <c r="Q223" s="129">
        <v>3.6451583917953757E-2</v>
      </c>
      <c r="R223" s="244" cm="1">
        <f t="array" ref="R223">_xlfn.SWITCH(TRUE,
  $C223&lt;$Q$5,  $S$41*$C223+$T$41,
  $C223&lt;$Q$6,  $S$42*$C223+$T$42,
  $C223&lt;$Q$7,  $S$43*$C223+$T$43,
  $C223&lt;$Q$8, $S$44*$C223+$T$44,
  $C223&lt;$Q$9, $S$45*$C223+$T$45,
  $C223&lt;$Q$10, $S$46*$C223+$T$46,
  $C223&lt;$Q$11,  $S$47*$C223+$T$47,
  $C223&lt;$Q$12, $S$48*$C223+$T$48,
  $S$49*$C223+$T$49
)</f>
        <v>1.1000000000000001</v>
      </c>
      <c r="S223" cm="1">
        <f t="array" ref="S223">_xlfn.SWITCH(TRUE,
  $C223&lt;$Q$5,  $U$41*$C223+$V$41,
  $C223&lt;$Q$6,  $U$42*$C223+$V$42,
  $C223&lt;$Q$7,  $U$43*$C223+$V$43,
  $C223&lt;$Q$8, $U$44*$C223+$V$44,
  $C223&lt;$Q$9, $U$45*$C223+$V$45,
  $C223&lt;$Q$10, $U$46*$C223+$V$46,
  $C223&lt;$Q$11,  $U$47*$C223+$V$47,
  $C223&lt;$Q$12, $U$48*$C223+$V$48,
  $U$49*$C223+$V$49
)</f>
        <v>3.8</v>
      </c>
      <c r="T223">
        <f t="shared" si="14"/>
        <v>1</v>
      </c>
      <c r="U223">
        <f t="shared" si="15"/>
        <v>0</v>
      </c>
      <c r="V223">
        <f t="shared" si="16"/>
        <v>0</v>
      </c>
      <c r="W223">
        <f t="shared" si="17"/>
        <v>0</v>
      </c>
      <c r="X223">
        <f t="shared" si="18"/>
        <v>0</v>
      </c>
      <c r="Y223">
        <f t="shared" si="19"/>
        <v>0</v>
      </c>
      <c r="Z223">
        <v>1.4563351612041906</v>
      </c>
      <c r="AA223">
        <v>5.4474754395549079</v>
      </c>
      <c r="AB223">
        <v>2.2746988529335721</v>
      </c>
      <c r="AC223" s="129">
        <v>3.3651370809809691E-2</v>
      </c>
      <c r="AD223" s="244" cm="1">
        <f t="array" ref="AD223">_xlfn.SWITCH(TRUE,
  $C223&lt;$Q$5,  $S$61*$C223+$T$61,
  $C223&lt;$Q$6,  $S$62*$C223+$T$62,
  $C223&lt;$Q$7,  $S$63*$C223+$T$63,
  $C223&lt;$Q$8, $S$64*$C223+$T$64,
  $C223&lt;$Q$9, $S$65*$C223+$T$65,
  $C223&lt;$Q$10, $S$66*$C223+$T$66,
  $C223&lt;$Q$11,  $S$67*$C223+$T$67,
  $C223&lt;$Q$12, $S$68*$C223+$T$68,
  $S$69*$C223+$T$69
)</f>
        <v>1.1000000000000001</v>
      </c>
      <c r="AE223" cm="1">
        <f t="array" ref="AE223">_xlfn.SWITCH(TRUE,
  $C223&lt;$Q$5,  $U$61*$C223+$V$61,
  $C223&lt;$Q$6,  $U$62*$C223+$V$62,
  $C223&lt;$Q$7,  $U$63*$C223+$V$63,
  $C223&lt;$Q$8, $U$64*$C223+$V$64,
  $C223&lt;$Q$9, $U$65*$C223+$V$65,
  $C223&lt;$Q$10, $U$66*$C223+$V$66,
  $C223&lt;$Q$11,  $U$67*$C223+$V$67,
  $C223&lt;$Q$12, $U$68*$C223+$V$68,
  $U$69*$C223+$V$69
)</f>
        <v>4</v>
      </c>
      <c r="AF223" cm="1">
        <f t="array" ref="AF223">_xlfn.LET(
  _xlpm.y,$C223,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23" cm="1">
        <f t="array" ref="AG223">_xlfn.LET(
  _xlpm.y,$C223,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23" cm="1">
        <f t="array" ref="AH223">_xlfn.LET(
  _xlpm.y,$C223,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3" cm="1">
        <f t="array" ref="AI223">_xlfn.LET(
  _xlpm.y,$C223,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3" cm="1">
        <f t="array" ref="AJ223">_xlfn.LET(
  _xlpm.y,$C223,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3">
        <f t="shared" si="20"/>
        <v>0</v>
      </c>
      <c r="AL223">
        <v>1.4440729542413246</v>
      </c>
      <c r="AM223">
        <v>5.0715939598544164</v>
      </c>
      <c r="AN223">
        <v>2.2747031571297112</v>
      </c>
      <c r="AO223">
        <v>3.3415739322789517E-2</v>
      </c>
    </row>
    <row r="224" spans="2:41">
      <c r="B224">
        <f>'主翼(型紙出力)'!B67</f>
        <v>16</v>
      </c>
      <c r="C224">
        <f>INT(('主翼(型紙出力)'!C67)*1000)/1000</f>
        <v>2.4249999999999998</v>
      </c>
      <c r="D224">
        <f>'主翼(型紙出力)'!E67</f>
        <v>0.15</v>
      </c>
      <c r="E224">
        <f>'主翼(重量推算)'!CE64</f>
        <v>2.4148921326727226</v>
      </c>
      <c r="F224" s="244" cm="1">
        <f t="array" ref="F224">_xlfn.SWITCH(TRUE,
  $C224&lt;$Q$5,  $S$22*$C224+$T$22,
  $C224&lt;$Q$6,  $S$23*$C224+$T$23,
  $C224&lt;$Q$7,  $S$24*$C224+$T$24,
  $C224&lt;$Q$8, $S$25*$C224+$T$25,
  $C224&lt;$Q$9, $S$26*$C224+$T$26,
  $C224&lt;$Q$10, $S$27*$C224+$T$27,
  $C224&lt;$Q$11,  $S$28*$C224+$T$28,
  $C224&lt;$Q$12, $S$29*$C224+$T$29,
  $S$30*$C224+$T$30
)</f>
        <v>1.0930097087378643</v>
      </c>
      <c r="G224" cm="1">
        <f t="array" ref="G224">_xlfn.SWITCH(TRUE,
  $C224&lt;$Q$5,  $U$22*$C224+$V$22,
  $C224&lt;$Q$6,  $U$23*$C224+$V$23,
  $C224&lt;$Q$7,  $U$24*$C224+$V$24,
  $C224&lt;$Q$8, $U$25*$C224+$V$25,
  $C224&lt;$Q$9, $U$26*$C224+$V$26,
  $C224&lt;$Q$10, $U$27*$C224+$V$27,
  $C224&lt;$Q$11,  $U$28*$C224+$V$28,
  $C224&lt;$Q$12, $U$29*$C224+$V$29,
  $U$30*$C224+$V$30
)</f>
        <v>3.4</v>
      </c>
      <c r="H224" cm="1">
        <f t="array" ref="H224">_xlfn.LET(
  _xlpm.y,$C224,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0.94174757281553401</v>
      </c>
      <c r="I224" cm="1">
        <f t="array" ref="I224">_xlfn.LET(
  _xlpm.y,$C224,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5.8252427184465994E-2</v>
      </c>
      <c r="J224" cm="1">
        <f t="array" ref="J224">_xlfn.LET(
  _xlpm.y,$C224,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4" cm="1">
        <f t="array" ref="K224">_xlfn.LET(
  _xlpm.y,$C224,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4" cm="1">
        <f t="array" ref="L224">_xlfn.LET(
  _xlpm.y,$C224,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4" cm="1">
        <f t="array" ref="M224">_xlfn.SWITCH(TRUE,
  $C224&lt;$Q$5,  $D$22,
  $C224&lt;$Q$6,  $D$23,
  $C224&lt;$Q$7,  $D$24,
  $C224&lt;$Q$8,  $D$25,
  $C224&lt;$Q$9,  $D$26,
  $C224&lt;$Q$10,  $D$27,
  $C224&lt;$Q$11,  $D$28,
  $C224&lt;$Q$12,  $D$29,
  $C224&lt;$Q$13,  $D$30,
  $C224&lt;100,  $D$31,
)</f>
        <v>0</v>
      </c>
      <c r="N224">
        <v>1.6838894735399546</v>
      </c>
      <c r="O224">
        <v>5.6702539003449717</v>
      </c>
      <c r="P224">
        <v>2.42458881622971</v>
      </c>
      <c r="Q224" s="129">
        <v>4.0600914388228437E-2</v>
      </c>
      <c r="R224" s="244" cm="1">
        <f t="array" ref="R224">_xlfn.SWITCH(TRUE,
  $C224&lt;$Q$5,  $S$41*$C224+$T$41,
  $C224&lt;$Q$6,  $S$42*$C224+$T$42,
  $C224&lt;$Q$7,  $S$43*$C224+$T$43,
  $C224&lt;$Q$8, $S$44*$C224+$T$44,
  $C224&lt;$Q$9, $S$45*$C224+$T$45,
  $C224&lt;$Q$10, $S$46*$C224+$T$46,
  $C224&lt;$Q$11,  $S$47*$C224+$T$47,
  $C224&lt;$Q$12, $S$48*$C224+$T$48,
  $S$49*$C224+$T$49
)</f>
        <v>1.0860194174757283</v>
      </c>
      <c r="S224" cm="1">
        <f t="array" ref="S224">_xlfn.SWITCH(TRUE,
  $C224&lt;$Q$5,  $U$41*$C224+$V$41,
  $C224&lt;$Q$6,  $U$42*$C224+$V$42,
  $C224&lt;$Q$7,  $U$43*$C224+$V$43,
  $C224&lt;$Q$8, $U$44*$C224+$V$44,
  $C224&lt;$Q$9, $U$45*$C224+$V$45,
  $C224&lt;$Q$10, $U$46*$C224+$V$46,
  $C224&lt;$Q$11,  $U$47*$C224+$V$47,
  $C224&lt;$Q$12, $U$48*$C224+$V$48,
  $U$49*$C224+$V$49
)</f>
        <v>3.8</v>
      </c>
      <c r="T224">
        <f t="shared" si="14"/>
        <v>0.94174757281553401</v>
      </c>
      <c r="U224">
        <f t="shared" si="15"/>
        <v>5.8252427184465994E-2</v>
      </c>
      <c r="V224">
        <f t="shared" si="16"/>
        <v>0</v>
      </c>
      <c r="W224">
        <f t="shared" si="17"/>
        <v>0</v>
      </c>
      <c r="X224">
        <f t="shared" si="18"/>
        <v>0</v>
      </c>
      <c r="Y224">
        <f t="shared" si="19"/>
        <v>0</v>
      </c>
      <c r="Z224">
        <v>1.5453226667084039</v>
      </c>
      <c r="AA224">
        <v>5.4158082924150142</v>
      </c>
      <c r="AB224">
        <v>2.4246504005343779</v>
      </c>
      <c r="AC224" s="129">
        <v>3.7463636818803873E-2</v>
      </c>
      <c r="AD224" s="244" cm="1">
        <f t="array" ref="AD224">_xlfn.SWITCH(TRUE,
  $C224&lt;$Q$5,  $S$61*$C224+$T$61,
  $C224&lt;$Q$6,  $S$62*$C224+$T$62,
  $C224&lt;$Q$7,  $S$63*$C224+$T$63,
  $C224&lt;$Q$8, $S$64*$C224+$T$64,
  $C224&lt;$Q$9, $S$65*$C224+$T$65,
  $C224&lt;$Q$10, $S$66*$C224+$T$66,
  $C224&lt;$Q$11,  $S$67*$C224+$T$67,
  $C224&lt;$Q$12, $S$68*$C224+$T$68,
  $S$69*$C224+$T$69
)</f>
        <v>1.086601941747573</v>
      </c>
      <c r="AE224" cm="1">
        <f t="array" ref="AE224">_xlfn.SWITCH(TRUE,
  $C224&lt;$Q$5,  $U$61*$C224+$V$61,
  $C224&lt;$Q$6,  $U$62*$C224+$V$62,
  $C224&lt;$Q$7,  $U$63*$C224+$V$63,
  $C224&lt;$Q$8, $U$64*$C224+$V$64,
  $C224&lt;$Q$9, $U$65*$C224+$V$65,
  $C224&lt;$Q$10, $U$66*$C224+$V$66,
  $C224&lt;$Q$11,  $U$67*$C224+$V$67,
  $C224&lt;$Q$12, $U$68*$C224+$V$68,
  $U$69*$C224+$V$69
)</f>
        <v>3.9883495145631067</v>
      </c>
      <c r="AF224" cm="1">
        <f t="array" ref="AF224">_xlfn.LET(
  _xlpm.y,$C224,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0.94174757281553401</v>
      </c>
      <c r="AG224" cm="1">
        <f t="array" ref="AG224">_xlfn.LET(
  _xlpm.y,$C224,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5.8252427184465994E-2</v>
      </c>
      <c r="AH224" cm="1">
        <f t="array" ref="AH224">_xlfn.LET(
  _xlpm.y,$C224,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4" cm="1">
        <f t="array" ref="AI224">_xlfn.LET(
  _xlpm.y,$C224,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4" cm="1">
        <f t="array" ref="AJ224">_xlfn.LET(
  _xlpm.y,$C224,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4">
        <f t="shared" si="20"/>
        <v>0</v>
      </c>
      <c r="AL224">
        <v>1.5317677216642673</v>
      </c>
      <c r="AM224">
        <v>5.0357904011295496</v>
      </c>
      <c r="AN224">
        <v>2.4246555171818942</v>
      </c>
      <c r="AO224">
        <v>3.7195913231546106E-2</v>
      </c>
    </row>
    <row r="225" spans="2:41">
      <c r="B225">
        <f>'主翼(型紙出力)'!B68</f>
        <v>17</v>
      </c>
      <c r="C225">
        <f>INT(('主翼(型紙出力)'!C68)*1000)/1000</f>
        <v>2.5750000000000002</v>
      </c>
      <c r="D225">
        <f>'主翼(型紙出力)'!E68</f>
        <v>0.15</v>
      </c>
      <c r="E225">
        <f>'主翼(重量推算)'!CE65</f>
        <v>2.3827334815852153</v>
      </c>
      <c r="F225" s="244" cm="1">
        <f t="array" ref="F225">_xlfn.SWITCH(TRUE,
  $C225&lt;$Q$5,  $S$22*$C225+$T$22,
  $C225&lt;$Q$6,  $S$23*$C225+$T$23,
  $C225&lt;$Q$7,  $S$24*$C225+$T$24,
  $C225&lt;$Q$8, $S$25*$C225+$T$25,
  $C225&lt;$Q$9, $S$26*$C225+$T$26,
  $C225&lt;$Q$10, $S$27*$C225+$T$27,
  $C225&lt;$Q$11,  $S$28*$C225+$T$28,
  $C225&lt;$Q$12, $S$29*$C225+$T$29,
  $S$30*$C225+$T$30
)</f>
        <v>1.0860194174757283</v>
      </c>
      <c r="G225" cm="1">
        <f t="array" ref="G225">_xlfn.SWITCH(TRUE,
  $C225&lt;$Q$5,  $U$22*$C225+$V$22,
  $C225&lt;$Q$6,  $U$23*$C225+$V$23,
  $C225&lt;$Q$7,  $U$24*$C225+$V$24,
  $C225&lt;$Q$8, $U$25*$C225+$V$25,
  $C225&lt;$Q$9, $U$26*$C225+$V$26,
  $C225&lt;$Q$10, $U$27*$C225+$V$27,
  $C225&lt;$Q$11,  $U$28*$C225+$V$28,
  $C225&lt;$Q$12, $U$29*$C225+$V$29,
  $U$30*$C225+$V$30
)</f>
        <v>3.4</v>
      </c>
      <c r="H225" cm="1">
        <f t="array" ref="H225">_xlfn.LET(
  _xlpm.y,$C225,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0.88349514563106779</v>
      </c>
      <c r="I225" cm="1">
        <f t="array" ref="I225">_xlfn.LET(
  _xlpm.y,$C225,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0.11650485436893215</v>
      </c>
      <c r="J225" cm="1">
        <f t="array" ref="J225">_xlfn.LET(
  _xlpm.y,$C225,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5" cm="1">
        <f t="array" ref="K225">_xlfn.LET(
  _xlpm.y,$C225,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5" cm="1">
        <f t="array" ref="L225">_xlfn.LET(
  _xlpm.y,$C225,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5" cm="1">
        <f t="array" ref="M225">_xlfn.SWITCH(TRUE,
  $C225&lt;$Q$5,  $D$22,
  $C225&lt;$Q$6,  $D$23,
  $C225&lt;$Q$7,  $D$24,
  $C225&lt;$Q$8,  $D$25,
  $C225&lt;$Q$9,  $D$26,
  $C225&lt;$Q$10,  $D$27,
  $C225&lt;$Q$11,  $D$28,
  $C225&lt;$Q$12,  $D$29,
  $C225&lt;$Q$13,  $D$30,
  $C225&lt;100,  $D$31,
)</f>
        <v>0</v>
      </c>
      <c r="N225">
        <v>1.7829969343505081</v>
      </c>
      <c r="O225">
        <v>5.6573118960921134</v>
      </c>
      <c r="P225">
        <v>2.5745240405613532</v>
      </c>
      <c r="Q225" s="129">
        <v>4.5008692129887951E-2</v>
      </c>
      <c r="R225" s="244" cm="1">
        <f t="array" ref="R225">_xlfn.SWITCH(TRUE,
  $C225&lt;$Q$5,  $S$41*$C225+$T$41,
  $C225&lt;$Q$6,  $S$42*$C225+$T$42,
  $C225&lt;$Q$7,  $S$43*$C225+$T$43,
  $C225&lt;$Q$8, $S$44*$C225+$T$44,
  $C225&lt;$Q$9, $S$45*$C225+$T$45,
  $C225&lt;$Q$10, $S$46*$C225+$T$46,
  $C225&lt;$Q$11,  $S$47*$C225+$T$47,
  $C225&lt;$Q$12, $S$48*$C225+$T$48,
  $S$49*$C225+$T$49
)</f>
        <v>1.0720388349514562</v>
      </c>
      <c r="S225" cm="1">
        <f t="array" ref="S225">_xlfn.SWITCH(TRUE,
  $C225&lt;$Q$5,  $U$41*$C225+$V$41,
  $C225&lt;$Q$6,  $U$42*$C225+$V$42,
  $C225&lt;$Q$7,  $U$43*$C225+$V$43,
  $C225&lt;$Q$8, $U$44*$C225+$V$44,
  $C225&lt;$Q$9, $U$45*$C225+$V$45,
  $C225&lt;$Q$10, $U$46*$C225+$V$46,
  $C225&lt;$Q$11,  $U$47*$C225+$V$47,
  $C225&lt;$Q$12, $U$48*$C225+$V$48,
  $U$49*$C225+$V$49
)</f>
        <v>3.8</v>
      </c>
      <c r="T225">
        <f t="shared" si="14"/>
        <v>0.88349514563106779</v>
      </c>
      <c r="U225">
        <f t="shared" si="15"/>
        <v>0.11650485436893215</v>
      </c>
      <c r="V225">
        <f t="shared" si="16"/>
        <v>0</v>
      </c>
      <c r="W225">
        <f t="shared" si="17"/>
        <v>0</v>
      </c>
      <c r="X225">
        <f t="shared" si="18"/>
        <v>0</v>
      </c>
      <c r="Y225">
        <f t="shared" si="19"/>
        <v>0</v>
      </c>
      <c r="Z225">
        <v>1.6344423580660861</v>
      </c>
      <c r="AA225">
        <v>5.3822826884167005</v>
      </c>
      <c r="AB225">
        <v>2.5745958463557432</v>
      </c>
      <c r="AC225" s="129">
        <v>4.1508791628196547E-2</v>
      </c>
      <c r="AD225" s="244" cm="1">
        <f t="array" ref="AD225">_xlfn.SWITCH(TRUE,
  $C225&lt;$Q$5,  $S$61*$C225+$T$61,
  $C225&lt;$Q$6,  $S$62*$C225+$T$62,
  $C225&lt;$Q$7,  $S$63*$C225+$T$63,
  $C225&lt;$Q$8, $S$64*$C225+$T$64,
  $C225&lt;$Q$9, $S$65*$C225+$T$65,
  $C225&lt;$Q$10, $S$66*$C225+$T$66,
  $C225&lt;$Q$11,  $S$67*$C225+$T$67,
  $C225&lt;$Q$12, $S$68*$C225+$T$68,
  $S$69*$C225+$T$69
)</f>
        <v>1.0732038834951456</v>
      </c>
      <c r="AE225" cm="1">
        <f t="array" ref="AE225">_xlfn.SWITCH(TRUE,
  $C225&lt;$Q$5,  $U$61*$C225+$V$61,
  $C225&lt;$Q$6,  $U$62*$C225+$V$62,
  $C225&lt;$Q$7,  $U$63*$C225+$V$63,
  $C225&lt;$Q$8, $U$64*$C225+$V$64,
  $C225&lt;$Q$9, $U$65*$C225+$V$65,
  $C225&lt;$Q$10, $U$66*$C225+$V$66,
  $C225&lt;$Q$11,  $U$67*$C225+$V$67,
  $C225&lt;$Q$12, $U$68*$C225+$V$68,
  $U$69*$C225+$V$69
)</f>
        <v>3.9766990291262134</v>
      </c>
      <c r="AF225" cm="1">
        <f t="array" ref="AF225">_xlfn.LET(
  _xlpm.y,$C225,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0.88349514563106779</v>
      </c>
      <c r="AG225" cm="1">
        <f t="array" ref="AG225">_xlfn.LET(
  _xlpm.y,$C225,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0.11650485436893215</v>
      </c>
      <c r="AH225" cm="1">
        <f t="array" ref="AH225">_xlfn.LET(
  _xlpm.y,$C225,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5" cm="1">
        <f t="array" ref="AI225">_xlfn.LET(
  _xlpm.y,$C225,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5" cm="1">
        <f t="array" ref="AJ225">_xlfn.LET(
  _xlpm.y,$C225,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5">
        <f t="shared" si="20"/>
        <v>0</v>
      </c>
      <c r="AL225">
        <v>1.619525721183946</v>
      </c>
      <c r="AM225">
        <v>4.9983512354387223</v>
      </c>
      <c r="AN225">
        <v>2.5746019158034135</v>
      </c>
      <c r="AO225">
        <v>4.1205594071266727E-2</v>
      </c>
    </row>
    <row r="226" spans="2:41">
      <c r="B226">
        <f>'主翼(型紙出力)'!B69</f>
        <v>18</v>
      </c>
      <c r="C226">
        <f>INT(('主翼(型紙出力)'!C69)*1000)/1000</f>
        <v>2.7250000000000001</v>
      </c>
      <c r="D226">
        <f>'主翼(型紙出力)'!E69</f>
        <v>0.15</v>
      </c>
      <c r="E226">
        <f>'主翼(重量推算)'!CE66</f>
        <v>2.3506642517137526</v>
      </c>
      <c r="F226" s="244" cm="1">
        <f t="array" ref="F226">_xlfn.SWITCH(TRUE,
  $C226&lt;$Q$5,  $S$22*$C226+$T$22,
  $C226&lt;$Q$6,  $S$23*$C226+$T$23,
  $C226&lt;$Q$7,  $S$24*$C226+$T$24,
  $C226&lt;$Q$8, $S$25*$C226+$T$25,
  $C226&lt;$Q$9, $S$26*$C226+$T$26,
  $C226&lt;$Q$10, $S$27*$C226+$T$27,
  $C226&lt;$Q$11,  $S$28*$C226+$T$28,
  $C226&lt;$Q$12, $S$29*$C226+$T$29,
  $S$30*$C226+$T$30
)</f>
        <v>1.0790291262135923</v>
      </c>
      <c r="G226" cm="1">
        <f t="array" ref="G226">_xlfn.SWITCH(TRUE,
  $C226&lt;$Q$5,  $U$22*$C226+$V$22,
  $C226&lt;$Q$6,  $U$23*$C226+$V$23,
  $C226&lt;$Q$7,  $U$24*$C226+$V$24,
  $C226&lt;$Q$8, $U$25*$C226+$V$25,
  $C226&lt;$Q$9, $U$26*$C226+$V$26,
  $C226&lt;$Q$10, $U$27*$C226+$V$27,
  $C226&lt;$Q$11,  $U$28*$C226+$V$28,
  $C226&lt;$Q$12, $U$29*$C226+$V$29,
  $U$30*$C226+$V$30
)</f>
        <v>3.4</v>
      </c>
      <c r="H226" cm="1">
        <f t="array" ref="H226">_xlfn.LET(
  _xlpm.y,$C226,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0.8252427184466018</v>
      </c>
      <c r="I226" cm="1">
        <f t="array" ref="I226">_xlfn.LET(
  _xlpm.y,$C226,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0.17475728155339815</v>
      </c>
      <c r="J226" cm="1">
        <f t="array" ref="J226">_xlfn.LET(
  _xlpm.y,$C226,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6" cm="1">
        <f t="array" ref="K226">_xlfn.LET(
  _xlpm.y,$C226,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6" cm="1">
        <f t="array" ref="L226">_xlfn.LET(
  _xlpm.y,$C226,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6" cm="1">
        <f t="array" ref="M226">_xlfn.SWITCH(TRUE,
  $C226&lt;$Q$5,  $D$22,
  $C226&lt;$Q$6,  $D$23,
  $C226&lt;$Q$7,  $D$24,
  $C226&lt;$Q$8,  $D$25,
  $C226&lt;$Q$9,  $D$26,
  $C226&lt;$Q$10,  $D$27,
  $C226&lt;$Q$11,  $D$28,
  $C226&lt;$Q$12,  $D$29,
  $C226&lt;$Q$13,  $D$30,
  $C226&lt;100,  $D$31,
)</f>
        <v>0</v>
      </c>
      <c r="N226">
        <v>1.8824518597767974</v>
      </c>
      <c r="O226">
        <v>5.6424751091306344</v>
      </c>
      <c r="P226">
        <v>2.72445141623056</v>
      </c>
      <c r="Q226" s="129">
        <v>4.9675813827949125E-2</v>
      </c>
      <c r="R226" s="244" cm="1">
        <f t="array" ref="R226">_xlfn.SWITCH(TRUE,
  $C226&lt;$Q$5,  $S$41*$C226+$T$41,
  $C226&lt;$Q$6,  $S$42*$C226+$T$42,
  $C226&lt;$Q$7,  $S$43*$C226+$T$43,
  $C226&lt;$Q$8, $S$44*$C226+$T$44,
  $C226&lt;$Q$9, $S$45*$C226+$T$45,
  $C226&lt;$Q$10, $S$46*$C226+$T$46,
  $C226&lt;$Q$11,  $S$47*$C226+$T$47,
  $C226&lt;$Q$12, $S$48*$C226+$T$48,
  $S$49*$C226+$T$49
)</f>
        <v>1.0580582524271844</v>
      </c>
      <c r="S226" cm="1">
        <f t="array" ref="S226">_xlfn.SWITCH(TRUE,
  $C226&lt;$Q$5,  $U$41*$C226+$V$41,
  $C226&lt;$Q$6,  $U$42*$C226+$V$42,
  $C226&lt;$Q$7,  $U$43*$C226+$V$43,
  $C226&lt;$Q$8, $U$44*$C226+$V$44,
  $C226&lt;$Q$9, $U$45*$C226+$V$45,
  $C226&lt;$Q$10, $U$46*$C226+$V$46,
  $C226&lt;$Q$11,  $U$47*$C226+$V$47,
  $C226&lt;$Q$12, $U$48*$C226+$V$48,
  $U$49*$C226+$V$49
)</f>
        <v>3.8</v>
      </c>
      <c r="T226">
        <f t="shared" si="14"/>
        <v>0.8252427184466018</v>
      </c>
      <c r="U226">
        <f t="shared" si="15"/>
        <v>0.17475728155339815</v>
      </c>
      <c r="V226">
        <f t="shared" si="16"/>
        <v>0</v>
      </c>
      <c r="W226">
        <f t="shared" si="17"/>
        <v>0</v>
      </c>
      <c r="X226">
        <f t="shared" si="18"/>
        <v>0</v>
      </c>
      <c r="Y226">
        <f t="shared" si="19"/>
        <v>0</v>
      </c>
      <c r="Z226">
        <v>1.7236942582601733</v>
      </c>
      <c r="AA226">
        <v>5.3469934897181917</v>
      </c>
      <c r="AB226">
        <v>2.7245348188296052</v>
      </c>
      <c r="AC226" s="129">
        <v>4.5787171401249993E-2</v>
      </c>
      <c r="AD226" s="244" cm="1">
        <f t="array" ref="AD226">_xlfn.SWITCH(TRUE,
  $C226&lt;$Q$5,  $S$61*$C226+$T$61,
  $C226&lt;$Q$6,  $S$62*$C226+$T$62,
  $C226&lt;$Q$7,  $S$63*$C226+$T$63,
  $C226&lt;$Q$8, $S$64*$C226+$T$64,
  $C226&lt;$Q$9, $S$65*$C226+$T$65,
  $C226&lt;$Q$10, $S$66*$C226+$T$66,
  $C226&lt;$Q$11,  $S$67*$C226+$T$67,
  $C226&lt;$Q$12, $S$68*$C226+$T$68,
  $S$69*$C226+$T$69
)</f>
        <v>1.0598058252427185</v>
      </c>
      <c r="AE226" cm="1">
        <f t="array" ref="AE226">_xlfn.SWITCH(TRUE,
  $C226&lt;$Q$5,  $U$61*$C226+$V$61,
  $C226&lt;$Q$6,  $U$62*$C226+$V$62,
  $C226&lt;$Q$7,  $U$63*$C226+$V$63,
  $C226&lt;$Q$8, $U$64*$C226+$V$64,
  $C226&lt;$Q$9, $U$65*$C226+$V$65,
  $C226&lt;$Q$10, $U$66*$C226+$V$66,
  $C226&lt;$Q$11,  $U$67*$C226+$V$67,
  $C226&lt;$Q$12, $U$68*$C226+$V$68,
  $U$69*$C226+$V$69
)</f>
        <v>3.9650485436893201</v>
      </c>
      <c r="AF226" cm="1">
        <f t="array" ref="AF226">_xlfn.LET(
  _xlpm.y,$C226,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0.8252427184466018</v>
      </c>
      <c r="AG226" cm="1">
        <f t="array" ref="AG226">_xlfn.LET(
  _xlpm.y,$C226,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0.17475728155339815</v>
      </c>
      <c r="AH226" cm="1">
        <f t="array" ref="AH226">_xlfn.LET(
  _xlpm.y,$C226,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6" cm="1">
        <f t="array" ref="AI226">_xlfn.LET(
  _xlpm.y,$C226,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6" cm="1">
        <f t="array" ref="AJ226">_xlfn.LET(
  _xlpm.y,$C226,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6">
        <f t="shared" si="20"/>
        <v>0</v>
      </c>
      <c r="AL226">
        <v>1.7073450369253607</v>
      </c>
      <c r="AM226">
        <v>4.9594740754445077</v>
      </c>
      <c r="AN226">
        <v>2.7245419970482194</v>
      </c>
      <c r="AO226">
        <v>4.5444937923907171E-2</v>
      </c>
    </row>
    <row r="227" spans="2:41">
      <c r="B227">
        <f>'主翼(型紙出力)'!B70</f>
        <v>19</v>
      </c>
      <c r="C227">
        <f>INT(('主翼(型紙出力)'!C70)*1000)/1000</f>
        <v>2.875</v>
      </c>
      <c r="D227">
        <f>'主翼(型紙出力)'!E70</f>
        <v>0.15</v>
      </c>
      <c r="E227">
        <f>'主翼(重量推算)'!CE67</f>
        <v>2.3186841318942202</v>
      </c>
      <c r="F227" s="244" cm="1">
        <f t="array" ref="F227">_xlfn.SWITCH(TRUE,
  $C227&lt;$Q$5,  $S$22*$C227+$T$22,
  $C227&lt;$Q$6,  $S$23*$C227+$T$23,
  $C227&lt;$Q$7,  $S$24*$C227+$T$24,
  $C227&lt;$Q$8, $S$25*$C227+$T$25,
  $C227&lt;$Q$9, $S$26*$C227+$T$26,
  $C227&lt;$Q$10, $S$27*$C227+$T$27,
  $C227&lt;$Q$11,  $S$28*$C227+$T$28,
  $C227&lt;$Q$12, $S$29*$C227+$T$29,
  $S$30*$C227+$T$30
)</f>
        <v>1.0720388349514565</v>
      </c>
      <c r="G227" cm="1">
        <f t="array" ref="G227">_xlfn.SWITCH(TRUE,
  $C227&lt;$Q$5,  $U$22*$C227+$V$22,
  $C227&lt;$Q$6,  $U$23*$C227+$V$23,
  $C227&lt;$Q$7,  $U$24*$C227+$V$24,
  $C227&lt;$Q$8, $U$25*$C227+$V$25,
  $C227&lt;$Q$9, $U$26*$C227+$V$26,
  $C227&lt;$Q$10, $U$27*$C227+$V$27,
  $C227&lt;$Q$11,  $U$28*$C227+$V$28,
  $C227&lt;$Q$12, $U$29*$C227+$V$29,
  $U$30*$C227+$V$30
)</f>
        <v>3.4</v>
      </c>
      <c r="H227" cm="1">
        <f t="array" ref="H227">_xlfn.LET(
  _xlpm.y,$C227,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0.7669902912621358</v>
      </c>
      <c r="I227" cm="1">
        <f t="array" ref="I227">_xlfn.LET(
  _xlpm.y,$C227,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0.23300970873786414</v>
      </c>
      <c r="J227" cm="1">
        <f t="array" ref="J227">_xlfn.LET(
  _xlpm.y,$C227,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7" cm="1">
        <f t="array" ref="K227">_xlfn.LET(
  _xlpm.y,$C227,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7" cm="1">
        <f t="array" ref="L227">_xlfn.LET(
  _xlpm.y,$C227,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7" cm="1">
        <f t="array" ref="M227">_xlfn.SWITCH(TRUE,
  $C227&lt;$Q$5,  $D$22,
  $C227&lt;$Q$6,  $D$23,
  $C227&lt;$Q$7,  $D$24,
  $C227&lt;$Q$8,  $D$25,
  $C227&lt;$Q$9,  $D$26,
  $C227&lt;$Q$10,  $D$27,
  $C227&lt;$Q$11,  $D$28,
  $C227&lt;$Q$12,  $D$29,
  $C227&lt;$Q$13,  $D$30,
  $C227&lt;100,  $D$31,
)</f>
        <v>0</v>
      </c>
      <c r="N227">
        <v>1.982254042852126</v>
      </c>
      <c r="O227">
        <v>5.6256436261766076</v>
      </c>
      <c r="P227">
        <v>2.8743704647699593</v>
      </c>
      <c r="Q227" s="129">
        <v>5.4603174687604637E-2</v>
      </c>
      <c r="R227" s="244" cm="1">
        <f t="array" ref="R227">_xlfn.SWITCH(TRUE,
  $C227&lt;$Q$5,  $S$41*$C227+$T$41,
  $C227&lt;$Q$6,  $S$42*$C227+$T$42,
  $C227&lt;$Q$7,  $S$43*$C227+$T$43,
  $C227&lt;$Q$8, $S$44*$C227+$T$44,
  $C227&lt;$Q$9, $S$45*$C227+$T$45,
  $C227&lt;$Q$10, $S$46*$C227+$T$46,
  $C227&lt;$Q$11,  $S$47*$C227+$T$47,
  $C227&lt;$Q$12, $S$48*$C227+$T$48,
  $S$49*$C227+$T$49
)</f>
        <v>1.0440776699029126</v>
      </c>
      <c r="S227" cm="1">
        <f t="array" ref="S227">_xlfn.SWITCH(TRUE,
  $C227&lt;$Q$5,  $U$41*$C227+$V$41,
  $C227&lt;$Q$6,  $U$42*$C227+$V$42,
  $C227&lt;$Q$7,  $U$43*$C227+$V$43,
  $C227&lt;$Q$8, $U$44*$C227+$V$44,
  $C227&lt;$Q$9, $U$45*$C227+$V$45,
  $C227&lt;$Q$10, $U$46*$C227+$V$46,
  $C227&lt;$Q$11,  $U$47*$C227+$V$47,
  $C227&lt;$Q$12, $U$48*$C227+$V$48,
  $U$49*$C227+$V$49
)</f>
        <v>3.8</v>
      </c>
      <c r="T227">
        <f t="shared" si="14"/>
        <v>0.7669902912621358</v>
      </c>
      <c r="U227">
        <f t="shared" si="15"/>
        <v>0.23300970873786414</v>
      </c>
      <c r="V227">
        <f t="shared" si="16"/>
        <v>0</v>
      </c>
      <c r="W227">
        <f t="shared" si="17"/>
        <v>0</v>
      </c>
      <c r="X227">
        <f t="shared" si="18"/>
        <v>0</v>
      </c>
      <c r="Y227">
        <f t="shared" si="19"/>
        <v>0</v>
      </c>
      <c r="Z227">
        <v>1.8130784224787759</v>
      </c>
      <c r="AA227">
        <v>5.3100315314659552</v>
      </c>
      <c r="AB227">
        <v>2.8744669447875482</v>
      </c>
      <c r="AC227" s="129">
        <v>5.0299111752305968E-2</v>
      </c>
      <c r="AD227" s="244" cm="1">
        <f t="array" ref="AD227">_xlfn.SWITCH(TRUE,
  $C227&lt;$Q$5,  $S$61*$C227+$T$61,
  $C227&lt;$Q$6,  $S$62*$C227+$T$62,
  $C227&lt;$Q$7,  $S$63*$C227+$T$63,
  $C227&lt;$Q$8, $S$64*$C227+$T$64,
  $C227&lt;$Q$9, $S$65*$C227+$T$65,
  $C227&lt;$Q$10, $S$66*$C227+$T$66,
  $C227&lt;$Q$11,  $S$67*$C227+$T$67,
  $C227&lt;$Q$12, $S$68*$C227+$T$68,
  $S$69*$C227+$T$69
)</f>
        <v>1.0464077669902914</v>
      </c>
      <c r="AE227" cm="1">
        <f t="array" ref="AE227">_xlfn.SWITCH(TRUE,
  $C227&lt;$Q$5,  $U$61*$C227+$V$61,
  $C227&lt;$Q$6,  $U$62*$C227+$V$62,
  $C227&lt;$Q$7,  $U$63*$C227+$V$63,
  $C227&lt;$Q$8, $U$64*$C227+$V$64,
  $C227&lt;$Q$9, $U$65*$C227+$V$65,
  $C227&lt;$Q$10, $U$66*$C227+$V$66,
  $C227&lt;$Q$11,  $U$67*$C227+$V$67,
  $C227&lt;$Q$12, $U$68*$C227+$V$68,
  $U$69*$C227+$V$69
)</f>
        <v>3.9533980582524268</v>
      </c>
      <c r="AF227" cm="1">
        <f t="array" ref="AF227">_xlfn.LET(
  _xlpm.y,$C227,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0.7669902912621358</v>
      </c>
      <c r="AG227" cm="1">
        <f t="array" ref="AG227">_xlfn.LET(
  _xlpm.y,$C227,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0.23300970873786414</v>
      </c>
      <c r="AH227" cm="1">
        <f t="array" ref="AH227">_xlfn.LET(
  _xlpm.y,$C227,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7" cm="1">
        <f t="array" ref="AI227">_xlfn.LET(
  _xlpm.y,$C227,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7" cm="1">
        <f t="array" ref="AJ227">_xlfn.LET(
  _xlpm.y,$C227,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7">
        <f t="shared" si="20"/>
        <v>0</v>
      </c>
      <c r="AL227">
        <v>1.7952237575846879</v>
      </c>
      <c r="AM227">
        <v>4.9193390456912178</v>
      </c>
      <c r="AN227">
        <v>2.8744754043741514</v>
      </c>
      <c r="AO227">
        <v>4.9914095298195321E-2</v>
      </c>
    </row>
    <row r="228" spans="2:41">
      <c r="B228">
        <f>'主翼(型紙出力)'!B71</f>
        <v>20</v>
      </c>
      <c r="C228">
        <f>INT(('主翼(型紙出力)'!C71)*1000)/1000</f>
        <v>3.0249999999999999</v>
      </c>
      <c r="D228">
        <f>'主翼(型紙出力)'!E71</f>
        <v>0.15</v>
      </c>
      <c r="E228">
        <f>'主翼(重量推算)'!CE68</f>
        <v>2.2867928109038465</v>
      </c>
      <c r="F228" s="244" cm="1">
        <f t="array" ref="F228">_xlfn.SWITCH(TRUE,
  $C228&lt;$Q$5,  $S$22*$C228+$T$22,
  $C228&lt;$Q$6,  $S$23*$C228+$T$23,
  $C228&lt;$Q$7,  $S$24*$C228+$T$24,
  $C228&lt;$Q$8, $S$25*$C228+$T$25,
  $C228&lt;$Q$9, $S$26*$C228+$T$26,
  $C228&lt;$Q$10, $S$27*$C228+$T$27,
  $C228&lt;$Q$11,  $S$28*$C228+$T$28,
  $C228&lt;$Q$12, $S$29*$C228+$T$29,
  $S$30*$C228+$T$30
)</f>
        <v>1.0650485436893204</v>
      </c>
      <c r="G228" cm="1">
        <f t="array" ref="G228">_xlfn.SWITCH(TRUE,
  $C228&lt;$Q$5,  $U$22*$C228+$V$22,
  $C228&lt;$Q$6,  $U$23*$C228+$V$23,
  $C228&lt;$Q$7,  $U$24*$C228+$V$24,
  $C228&lt;$Q$8, $U$25*$C228+$V$25,
  $C228&lt;$Q$9, $U$26*$C228+$V$26,
  $C228&lt;$Q$10, $U$27*$C228+$V$27,
  $C228&lt;$Q$11,  $U$28*$C228+$V$28,
  $C228&lt;$Q$12, $U$29*$C228+$V$29,
  $U$30*$C228+$V$30
)</f>
        <v>3.4</v>
      </c>
      <c r="H228" cm="1">
        <f t="array" ref="H228">_xlfn.LET(
  _xlpm.y,$C228,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0.70873786407766981</v>
      </c>
      <c r="I228" cm="1">
        <f t="array" ref="I228">_xlfn.LET(
  _xlpm.y,$C228,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0.29126213592233013</v>
      </c>
      <c r="J228" cm="1">
        <f t="array" ref="J228">_xlfn.LET(
  _xlpm.y,$C228,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8" cm="1">
        <f t="array" ref="K228">_xlfn.LET(
  _xlpm.y,$C228,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8" cm="1">
        <f t="array" ref="L228">_xlfn.LET(
  _xlpm.y,$C228,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8" cm="1">
        <f t="array" ref="M228">_xlfn.SWITCH(TRUE,
  $C228&lt;$Q$5,  $D$22,
  $C228&lt;$Q$6,  $D$23,
  $C228&lt;$Q$7,  $D$24,
  $C228&lt;$Q$8,  $D$25,
  $C228&lt;$Q$9,  $D$26,
  $C228&lt;$Q$10,  $D$27,
  $C228&lt;$Q$11,  $D$28,
  $C228&lt;$Q$12,  $D$29,
  $C228&lt;$Q$13,  $D$30,
  $C228&lt;100,  $D$31,
)</f>
        <v>0</v>
      </c>
      <c r="N228">
        <v>2.0824033172423748</v>
      </c>
      <c r="O228">
        <v>5.6067375464684472</v>
      </c>
      <c r="P228">
        <v>3.0242807030214323</v>
      </c>
      <c r="Q228" s="129">
        <v>5.9791668436907287E-2</v>
      </c>
      <c r="R228" s="244" cm="1">
        <f t="array" ref="R228">_xlfn.SWITCH(TRUE,
  $C228&lt;$Q$5,  $S$41*$C228+$T$41,
  $C228&lt;$Q$6,  $S$42*$C228+$T$42,
  $C228&lt;$Q$7,  $S$43*$C228+$T$43,
  $C228&lt;$Q$8, $S$44*$C228+$T$44,
  $C228&lt;$Q$9, $S$45*$C228+$T$45,
  $C228&lt;$Q$10, $S$46*$C228+$T$46,
  $C228&lt;$Q$11,  $S$47*$C228+$T$47,
  $C228&lt;$Q$12, $S$48*$C228+$T$48,
  $S$49*$C228+$T$49
)</f>
        <v>1.0300970873786408</v>
      </c>
      <c r="S228" cm="1">
        <f t="array" ref="S228">_xlfn.SWITCH(TRUE,
  $C228&lt;$Q$5,  $U$41*$C228+$V$41,
  $C228&lt;$Q$6,  $U$42*$C228+$V$42,
  $C228&lt;$Q$7,  $U$43*$C228+$V$43,
  $C228&lt;$Q$8, $U$44*$C228+$V$44,
  $C228&lt;$Q$9, $U$45*$C228+$V$45,
  $C228&lt;$Q$10, $U$46*$C228+$V$46,
  $C228&lt;$Q$11,  $U$47*$C228+$V$47,
  $C228&lt;$Q$12, $U$48*$C228+$V$48,
  $U$49*$C228+$V$49
)</f>
        <v>3.8</v>
      </c>
      <c r="T228">
        <f t="shared" si="14"/>
        <v>0.70873786407766981</v>
      </c>
      <c r="U228">
        <f t="shared" si="15"/>
        <v>0.29126213592233013</v>
      </c>
      <c r="V228">
        <f t="shared" si="16"/>
        <v>0</v>
      </c>
      <c r="W228">
        <f t="shared" si="17"/>
        <v>0</v>
      </c>
      <c r="X228">
        <f t="shared" si="18"/>
        <v>0</v>
      </c>
      <c r="Y228">
        <f t="shared" si="19"/>
        <v>0</v>
      </c>
      <c r="Z228">
        <v>1.9025949419505741</v>
      </c>
      <c r="AA228">
        <v>5.2714836603806354</v>
      </c>
      <c r="AB228">
        <v>3.0243918494563919</v>
      </c>
      <c r="AC228" s="129">
        <v>5.5044947825972752E-2</v>
      </c>
      <c r="AD228" s="244" cm="1">
        <f t="array" ref="AD228">_xlfn.SWITCH(TRUE,
  $C228&lt;$Q$5,  $S$61*$C228+$T$61,
  $C228&lt;$Q$6,  $S$62*$C228+$T$62,
  $C228&lt;$Q$7,  $S$63*$C228+$T$63,
  $C228&lt;$Q$8, $S$64*$C228+$T$64,
  $C228&lt;$Q$9, $S$65*$C228+$T$65,
  $C228&lt;$Q$10, $S$66*$C228+$T$66,
  $C228&lt;$Q$11,  $S$67*$C228+$T$67,
  $C228&lt;$Q$12, $S$68*$C228+$T$68,
  $S$69*$C228+$T$69
)</f>
        <v>1.0330097087378642</v>
      </c>
      <c r="AE228" cm="1">
        <f t="array" ref="AE228">_xlfn.SWITCH(TRUE,
  $C228&lt;$Q$5,  $U$61*$C228+$V$61,
  $C228&lt;$Q$6,  $U$62*$C228+$V$62,
  $C228&lt;$Q$7,  $U$63*$C228+$V$63,
  $C228&lt;$Q$8, $U$64*$C228+$V$64,
  $C228&lt;$Q$9, $U$65*$C228+$V$65,
  $C228&lt;$Q$10, $U$66*$C228+$V$66,
  $C228&lt;$Q$11,  $U$67*$C228+$V$67,
  $C228&lt;$Q$12, $U$68*$C228+$V$68,
  $U$69*$C228+$V$69
)</f>
        <v>3.9417475728155336</v>
      </c>
      <c r="AF228" cm="1">
        <f t="array" ref="AF228">_xlfn.LET(
  _xlpm.y,$C228,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0.70873786407766981</v>
      </c>
      <c r="AG228" cm="1">
        <f t="array" ref="AG228">_xlfn.LET(
  _xlpm.y,$C228,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0.29126213592233013</v>
      </c>
      <c r="AH228" cm="1">
        <f t="array" ref="AH228">_xlfn.LET(
  _xlpm.y,$C228,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8" cm="1">
        <f t="array" ref="AI228">_xlfn.LET(
  _xlpm.y,$C228,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8" cm="1">
        <f t="array" ref="AJ228">_xlfn.LET(
  _xlpm.y,$C228,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8">
        <f t="shared" si="20"/>
        <v>0</v>
      </c>
      <c r="AL228">
        <v>1.8831599775480163</v>
      </c>
      <c r="AM228">
        <v>4.8781093739431478</v>
      </c>
      <c r="AN228">
        <v>3.0244017806736649</v>
      </c>
      <c r="AO228">
        <v>5.4613211140210005E-2</v>
      </c>
    </row>
    <row r="229" spans="2:41">
      <c r="B229">
        <f>'主翼(型紙出力)'!B72</f>
        <v>21</v>
      </c>
      <c r="C229">
        <f>INT(('主翼(型紙出力)'!C72)*1000)/1000</f>
        <v>3.1749999999999998</v>
      </c>
      <c r="D229">
        <f>'主翼(型紙出力)'!E72</f>
        <v>0.15</v>
      </c>
      <c r="E229">
        <f>'主翼(重量推算)'!CE69</f>
        <v>2.2549899774631261</v>
      </c>
      <c r="F229" s="244" cm="1">
        <f t="array" ref="F229">_xlfn.SWITCH(TRUE,
  $C229&lt;$Q$5,  $S$22*$C229+$T$22,
  $C229&lt;$Q$6,  $S$23*$C229+$T$23,
  $C229&lt;$Q$7,  $S$24*$C229+$T$24,
  $C229&lt;$Q$8, $S$25*$C229+$T$25,
  $C229&lt;$Q$9, $S$26*$C229+$T$26,
  $C229&lt;$Q$10, $S$27*$C229+$T$27,
  $C229&lt;$Q$11,  $S$28*$C229+$T$28,
  $C229&lt;$Q$12, $S$29*$C229+$T$29,
  $S$30*$C229+$T$30
)</f>
        <v>1.0580582524271847</v>
      </c>
      <c r="G229" cm="1">
        <f t="array" ref="G229">_xlfn.SWITCH(TRUE,
  $C229&lt;$Q$5,  $U$22*$C229+$V$22,
  $C229&lt;$Q$6,  $U$23*$C229+$V$23,
  $C229&lt;$Q$7,  $U$24*$C229+$V$24,
  $C229&lt;$Q$8, $U$25*$C229+$V$25,
  $C229&lt;$Q$9, $U$26*$C229+$V$26,
  $C229&lt;$Q$10, $U$27*$C229+$V$27,
  $C229&lt;$Q$11,  $U$28*$C229+$V$28,
  $C229&lt;$Q$12, $U$29*$C229+$V$29,
  $U$30*$C229+$V$30
)</f>
        <v>3.4</v>
      </c>
      <c r="H229" cm="1">
        <f t="array" ref="H229">_xlfn.LET(
  _xlpm.y,$C229,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0.65048543689320382</v>
      </c>
      <c r="I229" cm="1">
        <f t="array" ref="I229">_xlfn.LET(
  _xlpm.y,$C229,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0.34951456310679613</v>
      </c>
      <c r="J229" cm="1">
        <f t="array" ref="J229">_xlfn.LET(
  _xlpm.y,$C229,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9" cm="1">
        <f t="array" ref="K229">_xlfn.LET(
  _xlpm.y,$C229,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9" cm="1">
        <f t="array" ref="L229">_xlfn.LET(
  _xlpm.y,$C229,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9" cm="1">
        <f t="array" ref="M229">_xlfn.SWITCH(TRUE,
  $C229&lt;$Q$5,  $D$22,
  $C229&lt;$Q$6,  $D$23,
  $C229&lt;$Q$7,  $D$24,
  $C229&lt;$Q$8,  $D$25,
  $C229&lt;$Q$9,  $D$26,
  $C229&lt;$Q$10,  $D$27,
  $C229&lt;$Q$11,  $D$28,
  $C229&lt;$Q$12,  $D$29,
  $C229&lt;$Q$13,  $D$30,
  $C229&lt;100,  $D$31,
)</f>
        <v>0</v>
      </c>
      <c r="N229">
        <v>2.1828995972729555</v>
      </c>
      <c r="O229">
        <v>5.5856959474727983</v>
      </c>
      <c r="P229">
        <v>3.1741816431214067</v>
      </c>
      <c r="Q229" s="129">
        <v>6.524218741621754E-2</v>
      </c>
      <c r="R229" s="244" cm="1">
        <f t="array" ref="R229">_xlfn.SWITCH(TRUE,
  $C229&lt;$Q$5,  $S$41*$C229+$T$41,
  $C229&lt;$Q$6,  $S$42*$C229+$T$42,
  $C229&lt;$Q$7,  $S$43*$C229+$T$43,
  $C229&lt;$Q$8, $S$44*$C229+$T$44,
  $C229&lt;$Q$9, $S$45*$C229+$T$45,
  $C229&lt;$Q$10, $S$46*$C229+$T$46,
  $C229&lt;$Q$11,  $S$47*$C229+$T$47,
  $C229&lt;$Q$12, $S$48*$C229+$T$48,
  $S$49*$C229+$T$49
)</f>
        <v>1.016116504854369</v>
      </c>
      <c r="S229" cm="1">
        <f t="array" ref="S229">_xlfn.SWITCH(TRUE,
  $C229&lt;$Q$5,  $U$41*$C229+$V$41,
  $C229&lt;$Q$6,  $U$42*$C229+$V$42,
  $C229&lt;$Q$7,  $U$43*$C229+$V$43,
  $C229&lt;$Q$8, $U$44*$C229+$V$44,
  $C229&lt;$Q$9, $U$45*$C229+$V$45,
  $C229&lt;$Q$10, $U$46*$C229+$V$46,
  $C229&lt;$Q$11,  $U$47*$C229+$V$47,
  $C229&lt;$Q$12, $U$48*$C229+$V$48,
  $U$49*$C229+$V$49
)</f>
        <v>3.8</v>
      </c>
      <c r="T229">
        <f t="shared" si="14"/>
        <v>0.65048543689320382</v>
      </c>
      <c r="U229">
        <f t="shared" si="15"/>
        <v>0.34951456310679613</v>
      </c>
      <c r="V229">
        <f t="shared" si="16"/>
        <v>0</v>
      </c>
      <c r="W229">
        <f t="shared" si="17"/>
        <v>0</v>
      </c>
      <c r="X229">
        <f t="shared" si="18"/>
        <v>0</v>
      </c>
      <c r="Y229">
        <f t="shared" si="19"/>
        <v>0</v>
      </c>
      <c r="Z229">
        <v>1.9922439471524749</v>
      </c>
      <c r="AA229">
        <v>5.2314327735010622</v>
      </c>
      <c r="AB229">
        <v>3.1743091564527979</v>
      </c>
      <c r="AC229" s="129">
        <v>6.0025014386307932E-2</v>
      </c>
      <c r="AD229" s="244" cm="1">
        <f t="array" ref="AD229">_xlfn.SWITCH(TRUE,
  $C229&lt;$Q$5,  $S$61*$C229+$T$61,
  $C229&lt;$Q$6,  $S$62*$C229+$T$62,
  $C229&lt;$Q$7,  $S$63*$C229+$T$63,
  $C229&lt;$Q$8, $S$64*$C229+$T$64,
  $C229&lt;$Q$9, $S$65*$C229+$T$65,
  $C229&lt;$Q$10, $S$66*$C229+$T$66,
  $C229&lt;$Q$11,  $S$67*$C229+$T$67,
  $C229&lt;$Q$12, $S$68*$C229+$T$68,
  $S$69*$C229+$T$69
)</f>
        <v>1.0196116504854369</v>
      </c>
      <c r="AE229" cm="1">
        <f t="array" ref="AE229">_xlfn.SWITCH(TRUE,
  $C229&lt;$Q$5,  $U$61*$C229+$V$61,
  $C229&lt;$Q$6,  $U$62*$C229+$V$62,
  $C229&lt;$Q$7,  $U$63*$C229+$V$63,
  $C229&lt;$Q$8, $U$64*$C229+$V$64,
  $C229&lt;$Q$9, $U$65*$C229+$V$65,
  $C229&lt;$Q$10, $U$66*$C229+$V$66,
  $C229&lt;$Q$11,  $U$67*$C229+$V$67,
  $C229&lt;$Q$12, $U$68*$C229+$V$68,
  $U$69*$C229+$V$69
)</f>
        <v>3.9300970873786407</v>
      </c>
      <c r="AF229" cm="1">
        <f t="array" ref="AF229">_xlfn.LET(
  _xlpm.y,$C229,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0.65048543689320382</v>
      </c>
      <c r="AG229" cm="1">
        <f t="array" ref="AG229">_xlfn.LET(
  _xlpm.y,$C229,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0.34951456310679613</v>
      </c>
      <c r="AH229" cm="1">
        <f t="array" ref="AH229">_xlfn.LET(
  _xlpm.y,$C229,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9" cm="1">
        <f t="array" ref="AI229">_xlfn.LET(
  _xlpm.y,$C229,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9" cm="1">
        <f t="array" ref="AJ229">_xlfn.LET(
  _xlpm.y,$C229,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9">
        <f t="shared" si="20"/>
        <v>0</v>
      </c>
      <c r="AL229">
        <v>1.9711517962980065</v>
      </c>
      <c r="AM229">
        <v>4.8359319829114371</v>
      </c>
      <c r="AN229">
        <v>3.1743207683044279</v>
      </c>
      <c r="AO229">
        <v>5.9542424847001084E-2</v>
      </c>
    </row>
    <row r="230" spans="2:41">
      <c r="B230">
        <f>'主翼(型紙出力)'!B73</f>
        <v>22</v>
      </c>
      <c r="C230">
        <f>INT(('主翼(型紙出力)'!C73)*1000)/1000</f>
        <v>3.3250000000000002</v>
      </c>
      <c r="D230">
        <f>'主翼(型紙出力)'!E73</f>
        <v>0.15</v>
      </c>
      <c r="E230">
        <f>'主翼(重量推算)'!CE70</f>
        <v>2.2232753202377835</v>
      </c>
      <c r="F230" s="244" cm="1">
        <f t="array" ref="F230">_xlfn.SWITCH(TRUE,
  $C230&lt;$Q$5,  $S$22*$C230+$T$22,
  $C230&lt;$Q$6,  $S$23*$C230+$T$23,
  $C230&lt;$Q$7,  $S$24*$C230+$T$24,
  $C230&lt;$Q$8, $S$25*$C230+$T$25,
  $C230&lt;$Q$9, $S$26*$C230+$T$26,
  $C230&lt;$Q$10, $S$27*$C230+$T$27,
  $C230&lt;$Q$11,  $S$28*$C230+$T$28,
  $C230&lt;$Q$12, $S$29*$C230+$T$29,
  $S$30*$C230+$T$30
)</f>
        <v>1.0510679611650486</v>
      </c>
      <c r="G230" cm="1">
        <f t="array" ref="G230">_xlfn.SWITCH(TRUE,
  $C230&lt;$Q$5,  $U$22*$C230+$V$22,
  $C230&lt;$Q$6,  $U$23*$C230+$V$23,
  $C230&lt;$Q$7,  $U$24*$C230+$V$24,
  $C230&lt;$Q$8, $U$25*$C230+$V$25,
  $C230&lt;$Q$9, $U$26*$C230+$V$26,
  $C230&lt;$Q$10, $U$27*$C230+$V$27,
  $C230&lt;$Q$11,  $U$28*$C230+$V$28,
  $C230&lt;$Q$12, $U$29*$C230+$V$29,
  $U$30*$C230+$V$30
)</f>
        <v>3.4</v>
      </c>
      <c r="H230" cm="1">
        <f t="array" ref="H230">_xlfn.LET(
  _xlpm.y,$C230,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0.59223300970873771</v>
      </c>
      <c r="I230" cm="1">
        <f t="array" ref="I230">_xlfn.LET(
  _xlpm.y,$C230,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0.40776699029126229</v>
      </c>
      <c r="J230" cm="1">
        <f t="array" ref="J230">_xlfn.LET(
  _xlpm.y,$C230,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0" cm="1">
        <f t="array" ref="K230">_xlfn.LET(
  _xlpm.y,$C230,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0" cm="1">
        <f t="array" ref="L230">_xlfn.LET(
  _xlpm.y,$C230,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0" cm="1">
        <f t="array" ref="M230">_xlfn.SWITCH(TRUE,
  $C230&lt;$Q$5,  $D$22,
  $C230&lt;$Q$6,  $D$23,
  $C230&lt;$Q$7,  $D$24,
  $C230&lt;$Q$8,  $D$25,
  $C230&lt;$Q$9,  $D$26,
  $C230&lt;$Q$10,  $D$27,
  $C230&lt;$Q$11,  $D$28,
  $C230&lt;$Q$12,  $D$29,
  $C230&lt;$Q$13,  $D$30,
  $C230&lt;100,  $D$31,
)</f>
        <v>0</v>
      </c>
      <c r="N230">
        <v>2.2837429255959547</v>
      </c>
      <c r="O230">
        <v>5.5624758503259875</v>
      </c>
      <c r="P230">
        <v>3.32407279248131</v>
      </c>
      <c r="Q230" s="129">
        <v>7.095562277220839E-2</v>
      </c>
      <c r="R230" s="244" cm="1">
        <f t="array" ref="R230">_xlfn.SWITCH(TRUE,
  $C230&lt;$Q$5,  $S$41*$C230+$T$41,
  $C230&lt;$Q$6,  $S$42*$C230+$T$42,
  $C230&lt;$Q$7,  $S$43*$C230+$T$43,
  $C230&lt;$Q$8, $S$44*$C230+$T$44,
  $C230&lt;$Q$9, $S$45*$C230+$T$45,
  $C230&lt;$Q$10, $S$46*$C230+$T$46,
  $C230&lt;$Q$11,  $S$47*$C230+$T$47,
  $C230&lt;$Q$12, $S$48*$C230+$T$48,
  $S$49*$C230+$T$49
)</f>
        <v>1.0021359223300972</v>
      </c>
      <c r="S230" cm="1">
        <f t="array" ref="S230">_xlfn.SWITCH(TRUE,
  $C230&lt;$Q$5,  $U$41*$C230+$V$41,
  $C230&lt;$Q$6,  $U$42*$C230+$V$42,
  $C230&lt;$Q$7,  $U$43*$C230+$V$43,
  $C230&lt;$Q$8, $U$44*$C230+$V$44,
  $C230&lt;$Q$9, $U$45*$C230+$V$45,
  $C230&lt;$Q$10, $U$46*$C230+$V$46,
  $C230&lt;$Q$11,  $U$47*$C230+$V$47,
  $C230&lt;$Q$12, $U$48*$C230+$V$48,
  $U$49*$C230+$V$49
)</f>
        <v>3.8</v>
      </c>
      <c r="T230">
        <f t="shared" si="14"/>
        <v>0.59223300970873771</v>
      </c>
      <c r="U230">
        <f t="shared" si="15"/>
        <v>0.40776699029126229</v>
      </c>
      <c r="V230">
        <f t="shared" si="16"/>
        <v>0</v>
      </c>
      <c r="W230">
        <f t="shared" si="17"/>
        <v>0</v>
      </c>
      <c r="X230">
        <f t="shared" si="18"/>
        <v>0</v>
      </c>
      <c r="Y230">
        <f t="shared" si="19"/>
        <v>0</v>
      </c>
      <c r="Z230">
        <v>2.082025610287376</v>
      </c>
      <c r="AA230">
        <v>5.1899578570844014</v>
      </c>
      <c r="AB230">
        <v>3.3242184877768577</v>
      </c>
      <c r="AC230" s="129">
        <v>6.5239645914348152E-2</v>
      </c>
      <c r="AD230" s="244" cm="1">
        <f t="array" ref="AD230">_xlfn.SWITCH(TRUE,
  $C230&lt;$Q$5,  $S$61*$C230+$T$61,
  $C230&lt;$Q$6,  $S$62*$C230+$T$62,
  $C230&lt;$Q$7,  $S$63*$C230+$T$63,
  $C230&lt;$Q$8, $S$64*$C230+$T$64,
  $C230&lt;$Q$9, $S$65*$C230+$T$65,
  $C230&lt;$Q$10, $S$66*$C230+$T$66,
  $C230&lt;$Q$11,  $S$67*$C230+$T$67,
  $C230&lt;$Q$12, $S$68*$C230+$T$68,
  $S$69*$C230+$T$69
)</f>
        <v>1.0062135922330098</v>
      </c>
      <c r="AE230" cm="1">
        <f t="array" ref="AE230">_xlfn.SWITCH(TRUE,
  $C230&lt;$Q$5,  $U$61*$C230+$V$61,
  $C230&lt;$Q$6,  $U$62*$C230+$V$62,
  $C230&lt;$Q$7,  $U$63*$C230+$V$63,
  $C230&lt;$Q$8, $U$64*$C230+$V$64,
  $C230&lt;$Q$9, $U$65*$C230+$V$65,
  $C230&lt;$Q$10, $U$66*$C230+$V$66,
  $C230&lt;$Q$11,  $U$67*$C230+$V$67,
  $C230&lt;$Q$12, $U$68*$C230+$V$68,
  $U$69*$C230+$V$69
)</f>
        <v>3.9184466019417474</v>
      </c>
      <c r="AF230" cm="1">
        <f t="array" ref="AF230">_xlfn.LET(
  _xlpm.y,$C230,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0.59223300970873771</v>
      </c>
      <c r="AG230" cm="1">
        <f t="array" ref="AG230">_xlfn.LET(
  _xlpm.y,$C230,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0.40776699029126229</v>
      </c>
      <c r="AH230" cm="1">
        <f t="array" ref="AH230">_xlfn.LET(
  _xlpm.y,$C230,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0" cm="1">
        <f t="array" ref="AI230">_xlfn.LET(
  _xlpm.y,$C230,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0" cm="1">
        <f t="array" ref="AJ230">_xlfn.LET(
  _xlpm.y,$C230,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0">
        <f t="shared" si="20"/>
        <v>0</v>
      </c>
      <c r="AL230">
        <v>2.0591973160568187</v>
      </c>
      <c r="AM230">
        <v>4.7929380823230581</v>
      </c>
      <c r="AN230">
        <v>3.3242320091199069</v>
      </c>
      <c r="AO230">
        <v>6.4701870278770349E-2</v>
      </c>
    </row>
    <row r="231" spans="2:41">
      <c r="B231">
        <f>'主翼(型紙出力)'!B74</f>
        <v>23</v>
      </c>
      <c r="C231">
        <f>INT(('主翼(型紙出力)'!C74)*1000)/1000</f>
        <v>3.4750000000000001</v>
      </c>
      <c r="D231">
        <f>'主翼(型紙出力)'!E74</f>
        <v>0.15</v>
      </c>
      <c r="E231">
        <f>'主翼(重量推算)'!CE71</f>
        <v>2.1916485278407527</v>
      </c>
      <c r="F231" s="244" cm="1">
        <f t="array" ref="F231">_xlfn.SWITCH(TRUE,
  $C231&lt;$Q$5,  $S$22*$C231+$T$22,
  $C231&lt;$Q$6,  $S$23*$C231+$T$23,
  $C231&lt;$Q$7,  $S$24*$C231+$T$24,
  $C231&lt;$Q$8, $S$25*$C231+$T$25,
  $C231&lt;$Q$9, $S$26*$C231+$T$26,
  $C231&lt;$Q$10, $S$27*$C231+$T$27,
  $C231&lt;$Q$11,  $S$28*$C231+$T$28,
  $C231&lt;$Q$12, $S$29*$C231+$T$29,
  $S$30*$C231+$T$30
)</f>
        <v>1.0440776699029128</v>
      </c>
      <c r="G231" cm="1">
        <f t="array" ref="G231">_xlfn.SWITCH(TRUE,
  $C231&lt;$Q$5,  $U$22*$C231+$V$22,
  $C231&lt;$Q$6,  $U$23*$C231+$V$23,
  $C231&lt;$Q$7,  $U$24*$C231+$V$24,
  $C231&lt;$Q$8, $U$25*$C231+$V$25,
  $C231&lt;$Q$9, $U$26*$C231+$V$26,
  $C231&lt;$Q$10, $U$27*$C231+$V$27,
  $C231&lt;$Q$11,  $U$28*$C231+$V$28,
  $C231&lt;$Q$12, $U$29*$C231+$V$29,
  $U$30*$C231+$V$30
)</f>
        <v>3.4</v>
      </c>
      <c r="H231" cm="1">
        <f t="array" ref="H231">_xlfn.LET(
  _xlpm.y,$C231,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0.53398058252427172</v>
      </c>
      <c r="I231" cm="1">
        <f t="array" ref="I231">_xlfn.LET(
  _xlpm.y,$C231,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0.46601941747572828</v>
      </c>
      <c r="J231" cm="1">
        <f t="array" ref="J231">_xlfn.LET(
  _xlpm.y,$C231,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1" cm="1">
        <f t="array" ref="K231">_xlfn.LET(
  _xlpm.y,$C231,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1" cm="1">
        <f t="array" ref="L231">_xlfn.LET(
  _xlpm.y,$C231,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1" cm="1">
        <f t="array" ref="M231">_xlfn.SWITCH(TRUE,
  $C231&lt;$Q$5,  $D$22,
  $C231&lt;$Q$6,  $D$23,
  $C231&lt;$Q$7,  $D$24,
  $C231&lt;$Q$8,  $D$25,
  $C231&lt;$Q$9,  $D$26,
  $C231&lt;$Q$10,  $D$27,
  $C231&lt;$Q$11,  $D$28,
  $C231&lt;$Q$12,  $D$29,
  $C231&lt;$Q$13,  $D$30,
  $C231&lt;100,  $D$31,
)</f>
        <v>0</v>
      </c>
      <c r="N231">
        <v>2.3849335293455338</v>
      </c>
      <c r="O231">
        <v>5.5370511851095143</v>
      </c>
      <c r="P231">
        <v>3.4739536537612739</v>
      </c>
      <c r="Q231" s="129">
        <v>7.6932864776365184E-2</v>
      </c>
      <c r="R231" s="244" cm="1">
        <f t="array" ref="R231">_xlfn.SWITCH(TRUE,
  $C231&lt;$Q$5,  $S$41*$C231+$T$41,
  $C231&lt;$Q$6,  $S$42*$C231+$T$42,
  $C231&lt;$Q$7,  $S$43*$C231+$T$43,
  $C231&lt;$Q$8, $S$44*$C231+$T$44,
  $C231&lt;$Q$9, $S$45*$C231+$T$45,
  $C231&lt;$Q$10, $S$46*$C231+$T$46,
  $C231&lt;$Q$11,  $S$47*$C231+$T$47,
  $C231&lt;$Q$12, $S$48*$C231+$T$48,
  $S$49*$C231+$T$49
)</f>
        <v>0.98815533980582515</v>
      </c>
      <c r="S231" cm="1">
        <f t="array" ref="S231">_xlfn.SWITCH(TRUE,
  $C231&lt;$Q$5,  $U$41*$C231+$V$41,
  $C231&lt;$Q$6,  $U$42*$C231+$V$42,
  $C231&lt;$Q$7,  $U$43*$C231+$V$43,
  $C231&lt;$Q$8, $U$44*$C231+$V$44,
  $C231&lt;$Q$9, $U$45*$C231+$V$45,
  $C231&lt;$Q$10, $U$46*$C231+$V$46,
  $C231&lt;$Q$11,  $U$47*$C231+$V$47,
  $C231&lt;$Q$12, $U$48*$C231+$V$48,
  $U$49*$C231+$V$49
)</f>
        <v>3.8</v>
      </c>
      <c r="T231">
        <f t="shared" si="14"/>
        <v>0.53398058252427172</v>
      </c>
      <c r="U231">
        <f t="shared" si="15"/>
        <v>0.46601941747572828</v>
      </c>
      <c r="V231">
        <f t="shared" si="16"/>
        <v>0</v>
      </c>
      <c r="W231">
        <f t="shared" si="17"/>
        <v>0</v>
      </c>
      <c r="X231">
        <f t="shared" si="18"/>
        <v>0</v>
      </c>
      <c r="Y231">
        <f t="shared" si="19"/>
        <v>0</v>
      </c>
      <c r="Z231">
        <v>2.1719401467418975</v>
      </c>
      <c r="AA231">
        <v>5.1471340256604092</v>
      </c>
      <c r="AB231">
        <v>3.4741194638046498</v>
      </c>
      <c r="AC231" s="129">
        <v>7.0689176712069757E-2</v>
      </c>
      <c r="AD231" s="244" cm="1">
        <f t="array" ref="AD231">_xlfn.SWITCH(TRUE,
  $C231&lt;$Q$5,  $S$61*$C231+$T$61,
  $C231&lt;$Q$6,  $S$62*$C231+$T$62,
  $C231&lt;$Q$7,  $S$63*$C231+$T$63,
  $C231&lt;$Q$8, $S$64*$C231+$T$64,
  $C231&lt;$Q$9, $S$65*$C231+$T$65,
  $C231&lt;$Q$10, $S$66*$C231+$T$66,
  $C231&lt;$Q$11,  $S$67*$C231+$T$67,
  $C231&lt;$Q$12, $S$68*$C231+$T$68,
  $S$69*$C231+$T$69
)</f>
        <v>0.99281553398058253</v>
      </c>
      <c r="AE231" cm="1">
        <f t="array" ref="AE231">_xlfn.SWITCH(TRUE,
  $C231&lt;$Q$5,  $U$61*$C231+$V$61,
  $C231&lt;$Q$6,  $U$62*$C231+$V$62,
  $C231&lt;$Q$7,  $U$63*$C231+$V$63,
  $C231&lt;$Q$8, $U$64*$C231+$V$64,
  $C231&lt;$Q$9, $U$65*$C231+$V$65,
  $C231&lt;$Q$10, $U$66*$C231+$V$66,
  $C231&lt;$Q$11,  $U$67*$C231+$V$67,
  $C231&lt;$Q$12, $U$68*$C231+$V$68,
  $U$69*$C231+$V$69
)</f>
        <v>3.9067961165048541</v>
      </c>
      <c r="AF231" cm="1">
        <f t="array" ref="AF231">_xlfn.LET(
  _xlpm.y,$C231,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0.53398058252427172</v>
      </c>
      <c r="AG231" cm="1">
        <f t="array" ref="AG231">_xlfn.LET(
  _xlpm.y,$C231,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0.46601941747572828</v>
      </c>
      <c r="AH231" cm="1">
        <f t="array" ref="AH231">_xlfn.LET(
  _xlpm.y,$C231,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1" cm="1">
        <f t="array" ref="AI231">_xlfn.LET(
  _xlpm.y,$C231,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1" cm="1">
        <f t="array" ref="AJ231">_xlfn.LET(
  _xlpm.y,$C231,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1">
        <f t="shared" si="20"/>
        <v>0</v>
      </c>
      <c r="AL231">
        <v>2.147294637415313</v>
      </c>
      <c r="AM231">
        <v>4.7492437612850988</v>
      </c>
      <c r="AN231">
        <v>3.4741351445001269</v>
      </c>
      <c r="AO231">
        <v>7.0091675764999098E-2</v>
      </c>
    </row>
    <row r="232" spans="2:41">
      <c r="B232">
        <f>'主翼(型紙出力)'!B75</f>
        <v>24</v>
      </c>
      <c r="C232">
        <f>INT(('主翼(型紙出力)'!C75)*1000)/1000</f>
        <v>3.625</v>
      </c>
      <c r="D232">
        <f>'主翼(型紙出力)'!E75</f>
        <v>0.15</v>
      </c>
      <c r="E232">
        <f>'主翼(重量推算)'!CE72</f>
        <v>2.1601092888342128</v>
      </c>
      <c r="F232" s="244" cm="1">
        <f t="array" ref="F232">_xlfn.SWITCH(TRUE,
  $C232&lt;$Q$5,  $S$22*$C232+$T$22,
  $C232&lt;$Q$6,  $S$23*$C232+$T$23,
  $C232&lt;$Q$7,  $S$24*$C232+$T$24,
  $C232&lt;$Q$8, $S$25*$C232+$T$25,
  $C232&lt;$Q$9, $S$26*$C232+$T$26,
  $C232&lt;$Q$10, $S$27*$C232+$T$27,
  $C232&lt;$Q$11,  $S$28*$C232+$T$28,
  $C232&lt;$Q$12, $S$29*$C232+$T$29,
  $S$30*$C232+$T$30
)</f>
        <v>1.0370873786407768</v>
      </c>
      <c r="G232" cm="1">
        <f t="array" ref="G232">_xlfn.SWITCH(TRUE,
  $C232&lt;$Q$5,  $U$22*$C232+$V$22,
  $C232&lt;$Q$6,  $U$23*$C232+$V$23,
  $C232&lt;$Q$7,  $U$24*$C232+$V$24,
  $C232&lt;$Q$8, $U$25*$C232+$V$25,
  $C232&lt;$Q$9, $U$26*$C232+$V$26,
  $C232&lt;$Q$10, $U$27*$C232+$V$27,
  $C232&lt;$Q$11,  $U$28*$C232+$V$28,
  $C232&lt;$Q$12, $U$29*$C232+$V$29,
  $U$30*$C232+$V$30
)</f>
        <v>3.4</v>
      </c>
      <c r="H232" cm="1">
        <f t="array" ref="H232">_xlfn.LET(
  _xlpm.y,$C232,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0.47572815533980572</v>
      </c>
      <c r="I232" cm="1">
        <f t="array" ref="I232">_xlfn.LET(
  _xlpm.y,$C232,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0.52427184466019428</v>
      </c>
      <c r="J232" cm="1">
        <f t="array" ref="J232">_xlfn.LET(
  _xlpm.y,$C232,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2" cm="1">
        <f t="array" ref="K232">_xlfn.LET(
  _xlpm.y,$C232,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2" cm="1">
        <f t="array" ref="L232">_xlfn.LET(
  _xlpm.y,$C232,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2" cm="1">
        <f t="array" ref="M232">_xlfn.SWITCH(TRUE,
  $C232&lt;$Q$5,  $D$22,
  $C232&lt;$Q$6,  $D$23,
  $C232&lt;$Q$7,  $D$24,
  $C232&lt;$Q$8,  $D$25,
  $C232&lt;$Q$9,  $D$26,
  $C232&lt;$Q$10,  $D$27,
  $C232&lt;$Q$11,  $D$28,
  $C232&lt;$Q$12,  $D$29,
  $C232&lt;$Q$13,  $D$30,
  $C232&lt;100,  $D$31,
)</f>
        <v>0</v>
      </c>
      <c r="N232">
        <v>2.4864718855526169</v>
      </c>
      <c r="O232">
        <v>5.5094117560605058</v>
      </c>
      <c r="P232">
        <v>3.6238237248348226</v>
      </c>
      <c r="Q232" s="129">
        <v>8.3174803290118934E-2</v>
      </c>
      <c r="R232" s="244" cm="1">
        <f t="array" ref="R232">_xlfn.SWITCH(TRUE,
  $C232&lt;$Q$5,  $S$41*$C232+$T$41,
  $C232&lt;$Q$6,  $S$42*$C232+$T$42,
  $C232&lt;$Q$7,  $S$43*$C232+$T$43,
  $C232&lt;$Q$8, $S$44*$C232+$T$44,
  $C232&lt;$Q$9, $S$45*$C232+$T$45,
  $C232&lt;$Q$10, $S$46*$C232+$T$46,
  $C232&lt;$Q$11,  $S$47*$C232+$T$47,
  $C232&lt;$Q$12, $S$48*$C232+$T$48,
  $S$49*$C232+$T$49
)</f>
        <v>0.97417475728155334</v>
      </c>
      <c r="S232" cm="1">
        <f t="array" ref="S232">_xlfn.SWITCH(TRUE,
  $C232&lt;$Q$5,  $U$41*$C232+$V$41,
  $C232&lt;$Q$6,  $U$42*$C232+$V$42,
  $C232&lt;$Q$7,  $U$43*$C232+$V$43,
  $C232&lt;$Q$8, $U$44*$C232+$V$44,
  $C232&lt;$Q$9, $U$45*$C232+$V$45,
  $C232&lt;$Q$10, $U$46*$C232+$V$46,
  $C232&lt;$Q$11,  $U$47*$C232+$V$47,
  $C232&lt;$Q$12, $U$48*$C232+$V$48,
  $U$49*$C232+$V$49
)</f>
        <v>3.8</v>
      </c>
      <c r="T232">
        <f t="shared" si="14"/>
        <v>0.47572815533980572</v>
      </c>
      <c r="U232">
        <f t="shared" si="15"/>
        <v>0.52427184466019428</v>
      </c>
      <c r="V232">
        <f t="shared" si="16"/>
        <v>0</v>
      </c>
      <c r="W232">
        <f t="shared" si="17"/>
        <v>0</v>
      </c>
      <c r="X232">
        <f t="shared" si="18"/>
        <v>0</v>
      </c>
      <c r="Y232">
        <f t="shared" si="19"/>
        <v>0</v>
      </c>
      <c r="Z232">
        <v>2.2619878148987707</v>
      </c>
      <c r="AA232">
        <v>5.1030325612377441</v>
      </c>
      <c r="AB232">
        <v>3.6240117032798</v>
      </c>
      <c r="AC232" s="129">
        <v>7.6373941010105653E-2</v>
      </c>
      <c r="AD232" s="244" cm="1">
        <f t="array" ref="AD232">_xlfn.SWITCH(TRUE,
  $C232&lt;$Q$5,  $S$61*$C232+$T$61,
  $C232&lt;$Q$6,  $S$62*$C232+$T$62,
  $C232&lt;$Q$7,  $S$63*$C232+$T$63,
  $C232&lt;$Q$8, $S$64*$C232+$T$64,
  $C232&lt;$Q$9, $S$65*$C232+$T$65,
  $C232&lt;$Q$10, $S$66*$C232+$T$66,
  $C232&lt;$Q$11,  $S$67*$C232+$T$67,
  $C232&lt;$Q$12, $S$68*$C232+$T$68,
  $S$69*$C232+$T$69
)</f>
        <v>0.9794174757281553</v>
      </c>
      <c r="AE232" cm="1">
        <f t="array" ref="AE232">_xlfn.SWITCH(TRUE,
  $C232&lt;$Q$5,  $U$61*$C232+$V$61,
  $C232&lt;$Q$6,  $U$62*$C232+$V$62,
  $C232&lt;$Q$7,  $U$63*$C232+$V$63,
  $C232&lt;$Q$8, $U$64*$C232+$V$64,
  $C232&lt;$Q$9, $U$65*$C232+$V$65,
  $C232&lt;$Q$10, $U$66*$C232+$V$66,
  $C232&lt;$Q$11,  $U$67*$C232+$V$67,
  $C232&lt;$Q$12, $U$68*$C232+$V$68,
  $U$69*$C232+$V$69
)</f>
        <v>3.8951456310679609</v>
      </c>
      <c r="AF232" cm="1">
        <f t="array" ref="AF232">_xlfn.LET(
  _xlpm.y,$C232,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0.47572815533980572</v>
      </c>
      <c r="AG232" cm="1">
        <f t="array" ref="AG232">_xlfn.LET(
  _xlpm.y,$C232,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0.52427184466019428</v>
      </c>
      <c r="AH232" cm="1">
        <f t="array" ref="AH232">_xlfn.LET(
  _xlpm.y,$C232,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2" cm="1">
        <f t="array" ref="AI232">_xlfn.LET(
  _xlpm.y,$C232,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2" cm="1">
        <f t="array" ref="AJ232">_xlfn.LET(
  _xlpm.y,$C232,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2">
        <f t="shared" si="20"/>
        <v>0</v>
      </c>
      <c r="AL232">
        <v>2.2354418523541115</v>
      </c>
      <c r="AM232">
        <v>4.704950580897151</v>
      </c>
      <c r="AN232">
        <v>3.6240298153828499</v>
      </c>
      <c r="AO232">
        <v>7.5711964099256138E-2</v>
      </c>
    </row>
    <row r="233" spans="2:41">
      <c r="B233">
        <f>'主翼(型紙出力)'!B76</f>
        <v>25</v>
      </c>
      <c r="C233">
        <f>INT(('主翼(型紙出力)'!C76)*1000)/1000</f>
        <v>3.7749999999999999</v>
      </c>
      <c r="D233">
        <f>'主翼(型紙出力)'!E76</f>
        <v>0.15</v>
      </c>
      <c r="E233">
        <f>'主翼(重量推算)'!CE73</f>
        <v>2.1286572917316176</v>
      </c>
      <c r="F233" s="244" cm="1">
        <f t="array" ref="F233">_xlfn.SWITCH(TRUE,
  $C233&lt;$Q$5,  $S$22*$C233+$T$22,
  $C233&lt;$Q$6,  $S$23*$C233+$T$23,
  $C233&lt;$Q$7,  $S$24*$C233+$T$24,
  $C233&lt;$Q$8, $S$25*$C233+$T$25,
  $C233&lt;$Q$9, $S$26*$C233+$T$26,
  $C233&lt;$Q$10, $S$27*$C233+$T$27,
  $C233&lt;$Q$11,  $S$28*$C233+$T$28,
  $C233&lt;$Q$12, $S$29*$C233+$T$29,
  $S$30*$C233+$T$30
)</f>
        <v>1.0300970873786408</v>
      </c>
      <c r="G233" cm="1">
        <f t="array" ref="G233">_xlfn.SWITCH(TRUE,
  $C233&lt;$Q$5,  $U$22*$C233+$V$22,
  $C233&lt;$Q$6,  $U$23*$C233+$V$23,
  $C233&lt;$Q$7,  $U$24*$C233+$V$24,
  $C233&lt;$Q$8, $U$25*$C233+$V$25,
  $C233&lt;$Q$9, $U$26*$C233+$V$26,
  $C233&lt;$Q$10, $U$27*$C233+$V$27,
  $C233&lt;$Q$11,  $U$28*$C233+$V$28,
  $C233&lt;$Q$12, $U$29*$C233+$V$29,
  $U$30*$C233+$V$30
)</f>
        <v>3.4</v>
      </c>
      <c r="H233" cm="1">
        <f t="array" ref="H233">_xlfn.LET(
  _xlpm.y,$C233,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0.41747572815533973</v>
      </c>
      <c r="I233" cm="1">
        <f t="array" ref="I233">_xlfn.LET(
  _xlpm.y,$C233,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0.58252427184466027</v>
      </c>
      <c r="J233" cm="1">
        <f t="array" ref="J233">_xlfn.LET(
  _xlpm.y,$C233,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3" cm="1">
        <f t="array" ref="K233">_xlfn.LET(
  _xlpm.y,$C233,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3" cm="1">
        <f t="array" ref="L233">_xlfn.LET(
  _xlpm.y,$C233,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3" cm="1">
        <f t="array" ref="M233">_xlfn.SWITCH(TRUE,
  $C233&lt;$Q$5,  $D$22,
  $C233&lt;$Q$6,  $D$23,
  $C233&lt;$Q$7,  $D$24,
  $C233&lt;$Q$8,  $D$25,
  $C233&lt;$Q$9,  $D$26,
  $C233&lt;$Q$10,  $D$27,
  $C233&lt;$Q$11,  $D$28,
  $C233&lt;$Q$12,  $D$29,
  $C233&lt;$Q$13,  $D$30,
  $C233&lt;100,  $D$31,
)</f>
        <v>0</v>
      </c>
      <c r="N233">
        <v>2.5883587965362258</v>
      </c>
      <c r="O233">
        <v>5.4795622068204617</v>
      </c>
      <c r="P233">
        <v>3.7736824987419069</v>
      </c>
      <c r="Q233" s="129">
        <v>8.9682328400747205E-2</v>
      </c>
      <c r="R233" s="244" cm="1">
        <f t="array" ref="R233">_xlfn.SWITCH(TRUE,
  $C233&lt;$Q$5,  $S$41*$C233+$T$41,
  $C233&lt;$Q$6,  $S$42*$C233+$T$42,
  $C233&lt;$Q$7,  $S$43*$C233+$T$43,
  $C233&lt;$Q$8, $S$44*$C233+$T$44,
  $C233&lt;$Q$9, $S$45*$C233+$T$45,
  $C233&lt;$Q$10, $S$46*$C233+$T$46,
  $C233&lt;$Q$11,  $S$47*$C233+$T$47,
  $C233&lt;$Q$12, $S$48*$C233+$T$48,
  $S$49*$C233+$T$49
)</f>
        <v>0.96019417475728153</v>
      </c>
      <c r="S233" cm="1">
        <f t="array" ref="S233">_xlfn.SWITCH(TRUE,
  $C233&lt;$Q$5,  $U$41*$C233+$V$41,
  $C233&lt;$Q$6,  $U$42*$C233+$V$42,
  $C233&lt;$Q$7,  $U$43*$C233+$V$43,
  $C233&lt;$Q$8, $U$44*$C233+$V$44,
  $C233&lt;$Q$9, $U$45*$C233+$V$45,
  $C233&lt;$Q$10, $U$46*$C233+$V$46,
  $C233&lt;$Q$11,  $U$47*$C233+$V$47,
  $C233&lt;$Q$12, $U$48*$C233+$V$48,
  $U$49*$C233+$V$49
)</f>
        <v>3.8</v>
      </c>
      <c r="T233">
        <f t="shared" si="14"/>
        <v>0.41747572815533973</v>
      </c>
      <c r="U233">
        <f t="shared" si="15"/>
        <v>0.58252427184466027</v>
      </c>
      <c r="V233">
        <f t="shared" si="16"/>
        <v>0</v>
      </c>
      <c r="W233">
        <f t="shared" si="17"/>
        <v>0</v>
      </c>
      <c r="X233">
        <f t="shared" si="18"/>
        <v>0</v>
      </c>
      <c r="Y233">
        <f t="shared" si="19"/>
        <v>0</v>
      </c>
      <c r="Z233">
        <v>2.3521689133670387</v>
      </c>
      <c r="AA233">
        <v>5.0577209526601692</v>
      </c>
      <c r="AB233">
        <v>3.7738948233041794</v>
      </c>
      <c r="AC233" s="129">
        <v>8.2294273074908497E-2</v>
      </c>
      <c r="AD233" s="244" cm="1">
        <f t="array" ref="AD233">_xlfn.SWITCH(TRUE,
  $C233&lt;$Q$5,  $S$61*$C233+$T$61,
  $C233&lt;$Q$6,  $S$62*$C233+$T$62,
  $C233&lt;$Q$7,  $S$63*$C233+$T$63,
  $C233&lt;$Q$8, $S$64*$C233+$T$64,
  $C233&lt;$Q$9, $S$65*$C233+$T$65,
  $C233&lt;$Q$10, $S$66*$C233+$T$66,
  $C233&lt;$Q$11,  $S$67*$C233+$T$67,
  $C233&lt;$Q$12, $S$68*$C233+$T$68,
  $S$69*$C233+$T$69
)</f>
        <v>0.96601941747572817</v>
      </c>
      <c r="AE233" cm="1">
        <f t="array" ref="AE233">_xlfn.SWITCH(TRUE,
  $C233&lt;$Q$5,  $U$61*$C233+$V$61,
  $C233&lt;$Q$6,  $U$62*$C233+$V$62,
  $C233&lt;$Q$7,  $U$63*$C233+$V$63,
  $C233&lt;$Q$8, $U$64*$C233+$V$64,
  $C233&lt;$Q$9, $U$65*$C233+$V$65,
  $C233&lt;$Q$10, $U$66*$C233+$V$66,
  $C233&lt;$Q$11,  $U$67*$C233+$V$67,
  $C233&lt;$Q$12, $U$68*$C233+$V$68,
  $U$69*$C233+$V$69
)</f>
        <v>3.8834951456310676</v>
      </c>
      <c r="AF233" cm="1">
        <f t="array" ref="AF233">_xlfn.LET(
  _xlpm.y,$C233,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0.41747572815533973</v>
      </c>
      <c r="AG233" cm="1">
        <f t="array" ref="AG233">_xlfn.LET(
  _xlpm.y,$C233,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0.58252427184466027</v>
      </c>
      <c r="AH233" cm="1">
        <f t="array" ref="AH233">_xlfn.LET(
  _xlpm.y,$C233,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3" cm="1">
        <f t="array" ref="AI233">_xlfn.LET(
  _xlpm.y,$C233,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3" cm="1">
        <f t="array" ref="AJ233">_xlfn.LET(
  _xlpm.y,$C233,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3">
        <f t="shared" si="20"/>
        <v>0</v>
      </c>
      <c r="AL233">
        <v>2.3236370337484868</v>
      </c>
      <c r="AM233">
        <v>4.6601461670643163</v>
      </c>
      <c r="AN233">
        <v>3.7739156622955465</v>
      </c>
      <c r="AO233">
        <v>8.1562852515867618E-2</v>
      </c>
    </row>
    <row r="234" spans="2:41">
      <c r="B234">
        <f>'主翼(型紙出力)'!B77</f>
        <v>26</v>
      </c>
      <c r="C234">
        <f>INT(('主翼(型紙出力)'!C77)*1000)/1000</f>
        <v>3.9249999999999998</v>
      </c>
      <c r="D234">
        <f>'主翼(型紙出力)'!E77</f>
        <v>0.15</v>
      </c>
      <c r="E234">
        <f>'主翼(重量推算)'!CE74</f>
        <v>2.0972922249997774</v>
      </c>
      <c r="F234" s="244" cm="1">
        <f t="array" ref="F234">_xlfn.SWITCH(TRUE,
  $C234&lt;$Q$5,  $S$22*$C234+$T$22,
  $C234&lt;$Q$6,  $S$23*$C234+$T$23,
  $C234&lt;$Q$7,  $S$24*$C234+$T$24,
  $C234&lt;$Q$8, $S$25*$C234+$T$25,
  $C234&lt;$Q$9, $S$26*$C234+$T$26,
  $C234&lt;$Q$10, $S$27*$C234+$T$27,
  $C234&lt;$Q$11,  $S$28*$C234+$T$28,
  $C234&lt;$Q$12, $S$29*$C234+$T$29,
  $S$30*$C234+$T$30
)</f>
        <v>1.023106796116505</v>
      </c>
      <c r="G234" cm="1">
        <f t="array" ref="G234">_xlfn.SWITCH(TRUE,
  $C234&lt;$Q$5,  $U$22*$C234+$V$22,
  $C234&lt;$Q$6,  $U$23*$C234+$V$23,
  $C234&lt;$Q$7,  $U$24*$C234+$V$24,
  $C234&lt;$Q$8, $U$25*$C234+$V$25,
  $C234&lt;$Q$9, $U$26*$C234+$V$26,
  $C234&lt;$Q$10, $U$27*$C234+$V$27,
  $C234&lt;$Q$11,  $U$28*$C234+$V$28,
  $C234&lt;$Q$12, $U$29*$C234+$V$29,
  $U$30*$C234+$V$30
)</f>
        <v>3.4</v>
      </c>
      <c r="H234" cm="1">
        <f t="array" ref="H234">_xlfn.LET(
  _xlpm.y,$C234,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0.35922330097087374</v>
      </c>
      <c r="I234" cm="1">
        <f t="array" ref="I234">_xlfn.LET(
  _xlpm.y,$C234,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0.64077669902912626</v>
      </c>
      <c r="J234" cm="1">
        <f t="array" ref="J234">_xlfn.LET(
  _xlpm.y,$C234,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4" cm="1">
        <f t="array" ref="K234">_xlfn.LET(
  _xlpm.y,$C234,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4" cm="1">
        <f t="array" ref="L234">_xlfn.LET(
  _xlpm.y,$C234,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4" cm="1">
        <f t="array" ref="M234">_xlfn.SWITCH(TRUE,
  $C234&lt;$Q$5,  $D$22,
  $C234&lt;$Q$6,  $D$23,
  $C234&lt;$Q$7,  $D$24,
  $C234&lt;$Q$8,  $D$25,
  $C234&lt;$Q$9,  $D$26,
  $C234&lt;$Q$10,  $D$27,
  $C234&lt;$Q$11,  $D$28,
  $C234&lt;$Q$12,  $D$29,
  $C234&lt;$Q$13,  $D$30,
  $C234&lt;100,  $D$31,
)</f>
        <v>0</v>
      </c>
      <c r="N234">
        <v>2.6905954766709548</v>
      </c>
      <c r="O234">
        <v>5.4475209858280609</v>
      </c>
      <c r="P234">
        <v>3.9235294636272315</v>
      </c>
      <c r="Q234" s="129">
        <v>9.6456331254028915E-2</v>
      </c>
      <c r="R234" s="244" cm="1">
        <f t="array" ref="R234">_xlfn.SWITCH(TRUE,
  $C234&lt;$Q$5,  $S$41*$C234+$T$41,
  $C234&lt;$Q$6,  $S$42*$C234+$T$42,
  $C234&lt;$Q$7,  $S$43*$C234+$T$43,
  $C234&lt;$Q$8, $S$44*$C234+$T$44,
  $C234&lt;$Q$9, $S$45*$C234+$T$45,
  $C234&lt;$Q$10, $S$46*$C234+$T$46,
  $C234&lt;$Q$11,  $S$47*$C234+$T$47,
  $C234&lt;$Q$12, $S$48*$C234+$T$48,
  $S$49*$C234+$T$49
)</f>
        <v>0.94621359223300971</v>
      </c>
      <c r="S234" cm="1">
        <f t="array" ref="S234">_xlfn.SWITCH(TRUE,
  $C234&lt;$Q$5,  $U$41*$C234+$V$41,
  $C234&lt;$Q$6,  $U$42*$C234+$V$42,
  $C234&lt;$Q$7,  $U$43*$C234+$V$43,
  $C234&lt;$Q$8, $U$44*$C234+$V$44,
  $C234&lt;$Q$9, $U$45*$C234+$V$45,
  $C234&lt;$Q$10, $U$46*$C234+$V$46,
  $C234&lt;$Q$11,  $U$47*$C234+$V$47,
  $C234&lt;$Q$12, $U$48*$C234+$V$48,
  $U$49*$C234+$V$49
)</f>
        <v>3.8</v>
      </c>
      <c r="T234">
        <f t="shared" si="14"/>
        <v>0.35922330097087374</v>
      </c>
      <c r="U234">
        <f t="shared" si="15"/>
        <v>0.64077669902912626</v>
      </c>
      <c r="V234">
        <f t="shared" si="16"/>
        <v>0</v>
      </c>
      <c r="W234">
        <f t="shared" si="17"/>
        <v>0</v>
      </c>
      <c r="X234">
        <f t="shared" si="18"/>
        <v>0</v>
      </c>
      <c r="Y234">
        <f t="shared" si="19"/>
        <v>0</v>
      </c>
      <c r="Z234">
        <v>2.4424837752971946</v>
      </c>
      <c r="AA234">
        <v>5.0112629351104223</v>
      </c>
      <c r="AB234">
        <v>3.9237684393280143</v>
      </c>
      <c r="AC234" s="129">
        <v>8.845050730860167E-2</v>
      </c>
      <c r="AD234" s="244" cm="1">
        <f t="array" ref="AD234">_xlfn.SWITCH(TRUE,
  $C234&lt;$Q$5,  $S$61*$C234+$T$61,
  $C234&lt;$Q$6,  $S$62*$C234+$T$62,
  $C234&lt;$Q$7,  $S$63*$C234+$T$63,
  $C234&lt;$Q$8, $S$64*$C234+$T$64,
  $C234&lt;$Q$9, $S$65*$C234+$T$65,
  $C234&lt;$Q$10, $S$66*$C234+$T$66,
  $C234&lt;$Q$11,  $S$67*$C234+$T$67,
  $C234&lt;$Q$12, $S$68*$C234+$T$68,
  $S$69*$C234+$T$69
)</f>
        <v>0.95262135922330105</v>
      </c>
      <c r="AE234" cm="1">
        <f t="array" ref="AE234">_xlfn.SWITCH(TRUE,
  $C234&lt;$Q$5,  $U$61*$C234+$V$61,
  $C234&lt;$Q$6,  $U$62*$C234+$V$62,
  $C234&lt;$Q$7,  $U$63*$C234+$V$63,
  $C234&lt;$Q$8, $U$64*$C234+$V$64,
  $C234&lt;$Q$9, $U$65*$C234+$V$65,
  $C234&lt;$Q$10, $U$66*$C234+$V$66,
  $C234&lt;$Q$11,  $U$67*$C234+$V$67,
  $C234&lt;$Q$12, $U$68*$C234+$V$68,
  $U$69*$C234+$V$69
)</f>
        <v>3.8718446601941743</v>
      </c>
      <c r="AF234" cm="1">
        <f t="array" ref="AF234">_xlfn.LET(
  _xlpm.y,$C234,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0.35922330097087374</v>
      </c>
      <c r="AG234" cm="1">
        <f t="array" ref="AG234">_xlfn.LET(
  _xlpm.y,$C234,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0.64077669902912626</v>
      </c>
      <c r="AH234" cm="1">
        <f t="array" ref="AH234">_xlfn.LET(
  _xlpm.y,$C234,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4" cm="1">
        <f t="array" ref="AI234">_xlfn.LET(
  _xlpm.y,$C234,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4" cm="1">
        <f t="array" ref="AJ234">_xlfn.LET(
  _xlpm.y,$C234,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4">
        <f t="shared" si="20"/>
        <v>0</v>
      </c>
      <c r="AL234">
        <v>2.4118782210705243</v>
      </c>
      <c r="AM234">
        <v>4.6149048034630269</v>
      </c>
      <c r="AN234">
        <v>3.9237923253887019</v>
      </c>
      <c r="AO234">
        <v>8.7644452639257991E-2</v>
      </c>
    </row>
    <row r="235" spans="2:41">
      <c r="B235">
        <f>'主翼(型紙出力)'!B78</f>
        <v>27</v>
      </c>
      <c r="C235">
        <f>INT(('主翼(型紙出力)'!C78)*1000)/1000</f>
        <v>4.0750000000000002</v>
      </c>
      <c r="D235">
        <f>'主翼(型紙出力)'!E78</f>
        <v>0.15</v>
      </c>
      <c r="E235">
        <f>'主翼(重量推算)'!CE75</f>
        <v>2.0660137770609626</v>
      </c>
      <c r="F235" s="244" cm="1">
        <f t="array" ref="F235">_xlfn.SWITCH(TRUE,
  $C235&lt;$Q$5,  $S$22*$C235+$T$22,
  $C235&lt;$Q$6,  $S$23*$C235+$T$23,
  $C235&lt;$Q$7,  $S$24*$C235+$T$24,
  $C235&lt;$Q$8, $S$25*$C235+$T$25,
  $C235&lt;$Q$9, $S$26*$C235+$T$26,
  $C235&lt;$Q$10, $S$27*$C235+$T$27,
  $C235&lt;$Q$11,  $S$28*$C235+$T$28,
  $C235&lt;$Q$12, $S$29*$C235+$T$29,
  $S$30*$C235+$T$30
)</f>
        <v>1.016116504854369</v>
      </c>
      <c r="G235" cm="1">
        <f t="array" ref="G235">_xlfn.SWITCH(TRUE,
  $C235&lt;$Q$5,  $U$22*$C235+$V$22,
  $C235&lt;$Q$6,  $U$23*$C235+$V$23,
  $C235&lt;$Q$7,  $U$24*$C235+$V$24,
  $C235&lt;$Q$8, $U$25*$C235+$V$25,
  $C235&lt;$Q$9, $U$26*$C235+$V$26,
  $C235&lt;$Q$10, $U$27*$C235+$V$27,
  $C235&lt;$Q$11,  $U$28*$C235+$V$28,
  $C235&lt;$Q$12, $U$29*$C235+$V$29,
  $U$30*$C235+$V$30
)</f>
        <v>3.4</v>
      </c>
      <c r="H235" cm="1">
        <f t="array" ref="H235">_xlfn.LET(
  _xlpm.y,$C235,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0.30097087378640763</v>
      </c>
      <c r="I235" cm="1">
        <f t="array" ref="I235">_xlfn.LET(
  _xlpm.y,$C235,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0.69902912621359237</v>
      </c>
      <c r="J235" cm="1">
        <f t="array" ref="J235">_xlfn.LET(
  _xlpm.y,$C235,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5" cm="1">
        <f t="array" ref="K235">_xlfn.LET(
  _xlpm.y,$C235,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5" cm="1">
        <f t="array" ref="L235">_xlfn.LET(
  _xlpm.y,$C235,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5" cm="1">
        <f t="array" ref="M235">_xlfn.SWITCH(TRUE,
  $C235&lt;$Q$5,  $D$22,
  $C235&lt;$Q$6,  $D$23,
  $C235&lt;$Q$7,  $D$24,
  $C235&lt;$Q$8,  $D$25,
  $C235&lt;$Q$9,  $D$26,
  $C235&lt;$Q$10,  $D$27,
  $C235&lt;$Q$11,  $D$28,
  $C235&lt;$Q$12,  $D$29,
  $C235&lt;$Q$13,  $D$30,
  $C235&lt;100,  $D$31,
)</f>
        <v>0</v>
      </c>
      <c r="N235">
        <v>2.7931836549858384</v>
      </c>
      <c r="O235">
        <v>5.413319311964262</v>
      </c>
      <c r="P235">
        <v>4.0733641026603147</v>
      </c>
      <c r="Q235" s="129">
        <v>0.10349770511327092</v>
      </c>
      <c r="R235" s="244" cm="1">
        <f t="array" ref="R235">_xlfn.SWITCH(TRUE,
  $C235&lt;$Q$5,  $S$41*$C235+$T$41,
  $C235&lt;$Q$6,  $S$42*$C235+$T$42,
  $C235&lt;$Q$7,  $S$43*$C235+$T$43,
  $C235&lt;$Q$8, $S$44*$C235+$T$44,
  $C235&lt;$Q$9, $S$45*$C235+$T$45,
  $C235&lt;$Q$10, $S$46*$C235+$T$46,
  $C235&lt;$Q$11,  $S$47*$C235+$T$47,
  $C235&lt;$Q$12, $S$48*$C235+$T$48,
  $S$49*$C235+$T$49
)</f>
        <v>0.93223300970873779</v>
      </c>
      <c r="S235" cm="1">
        <f t="array" ref="S235">_xlfn.SWITCH(TRUE,
  $C235&lt;$Q$5,  $U$41*$C235+$V$41,
  $C235&lt;$Q$6,  $U$42*$C235+$V$42,
  $C235&lt;$Q$7,  $U$43*$C235+$V$43,
  $C235&lt;$Q$8, $U$44*$C235+$V$44,
  $C235&lt;$Q$9, $U$45*$C235+$V$45,
  $C235&lt;$Q$10, $U$46*$C235+$V$46,
  $C235&lt;$Q$11,  $U$47*$C235+$V$47,
  $C235&lt;$Q$12, $U$48*$C235+$V$48,
  $U$49*$C235+$V$49
)</f>
        <v>3.8</v>
      </c>
      <c r="T235">
        <f t="shared" si="14"/>
        <v>0.30097087378640763</v>
      </c>
      <c r="U235">
        <f t="shared" si="15"/>
        <v>0.69902912621359237</v>
      </c>
      <c r="V235">
        <f t="shared" si="16"/>
        <v>0</v>
      </c>
      <c r="W235">
        <f t="shared" si="17"/>
        <v>0</v>
      </c>
      <c r="X235">
        <f t="shared" si="18"/>
        <v>0</v>
      </c>
      <c r="Y235">
        <f t="shared" si="19"/>
        <v>0</v>
      </c>
      <c r="Z235">
        <v>2.5329327629258644</v>
      </c>
      <c r="AA235">
        <v>4.9637185297594888</v>
      </c>
      <c r="AB235">
        <v>4.0736321651398022</v>
      </c>
      <c r="AC235" s="129">
        <v>9.4842978333891576E-2</v>
      </c>
      <c r="AD235" s="244" cm="1">
        <f t="array" ref="AD235">_xlfn.SWITCH(TRUE,
  $C235&lt;$Q$5,  $S$61*$C235+$T$61,
  $C235&lt;$Q$6,  $S$62*$C235+$T$62,
  $C235&lt;$Q$7,  $S$63*$C235+$T$63,
  $C235&lt;$Q$8, $S$64*$C235+$T$64,
  $C235&lt;$Q$9, $S$65*$C235+$T$65,
  $C235&lt;$Q$10, $S$66*$C235+$T$66,
  $C235&lt;$Q$11,  $S$67*$C235+$T$67,
  $C235&lt;$Q$12, $S$68*$C235+$T$68,
  $S$69*$C235+$T$69
)</f>
        <v>0.9392233009708737</v>
      </c>
      <c r="AE235" cm="1">
        <f t="array" ref="AE235">_xlfn.SWITCH(TRUE,
  $C235&lt;$Q$5,  $U$61*$C235+$V$61,
  $C235&lt;$Q$6,  $U$62*$C235+$V$62,
  $C235&lt;$Q$7,  $U$63*$C235+$V$63,
  $C235&lt;$Q$8, $U$64*$C235+$V$64,
  $C235&lt;$Q$9, $U$65*$C235+$V$65,
  $C235&lt;$Q$10, $U$66*$C235+$V$66,
  $C235&lt;$Q$11,  $U$67*$C235+$V$67,
  $C235&lt;$Q$12, $U$68*$C235+$V$68,
  $U$69*$C235+$V$69
)</f>
        <v>3.8601941747572814</v>
      </c>
      <c r="AF235" cm="1">
        <f t="array" ref="AF235">_xlfn.LET(
  _xlpm.y,$C235,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0.30097087378640763</v>
      </c>
      <c r="AG235" cm="1">
        <f t="array" ref="AG235">_xlfn.LET(
  _xlpm.y,$C235,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0.69902912621359237</v>
      </c>
      <c r="AH235" cm="1">
        <f t="array" ref="AH235">_xlfn.LET(
  _xlpm.y,$C235,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5" cm="1">
        <f t="array" ref="AI235">_xlfn.LET(
  _xlpm.y,$C235,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5" cm="1">
        <f t="array" ref="AJ235">_xlfn.LET(
  _xlpm.y,$C235,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5">
        <f t="shared" si="20"/>
        <v>0</v>
      </c>
      <c r="AL235">
        <v>2.5001634055358046</v>
      </c>
      <c r="AM235">
        <v>4.5692880246115992</v>
      </c>
      <c r="AN235">
        <v>4.0736594444711214</v>
      </c>
      <c r="AO235">
        <v>9.3956870396027084E-2</v>
      </c>
    </row>
    <row r="236" spans="2:41">
      <c r="B236">
        <f>'主翼(型紙出力)'!B79</f>
        <v>28</v>
      </c>
      <c r="C236">
        <f>INT(('主翼(型紙出力)'!C79)*1000)/1000</f>
        <v>4.2249999999999996</v>
      </c>
      <c r="D236">
        <f>'主翼(型紙出力)'!E79</f>
        <v>0.15</v>
      </c>
      <c r="E236">
        <f>'主翼(重量推算)'!CE76</f>
        <v>2.0348216362950167</v>
      </c>
      <c r="F236" s="244" cm="1">
        <f t="array" ref="F236">_xlfn.SWITCH(TRUE,
  $C236&lt;$Q$5,  $S$22*$C236+$T$22,
  $C236&lt;$Q$6,  $S$23*$C236+$T$23,
  $C236&lt;$Q$7,  $S$24*$C236+$T$24,
  $C236&lt;$Q$8, $S$25*$C236+$T$25,
  $C236&lt;$Q$9, $S$26*$C236+$T$26,
  $C236&lt;$Q$10, $S$27*$C236+$T$27,
  $C236&lt;$Q$11,  $S$28*$C236+$T$28,
  $C236&lt;$Q$12, $S$29*$C236+$T$29,
  $S$30*$C236+$T$30
)</f>
        <v>1.0091262135922332</v>
      </c>
      <c r="G236" cm="1">
        <f t="array" ref="G236">_xlfn.SWITCH(TRUE,
  $C236&lt;$Q$5,  $U$22*$C236+$V$22,
  $C236&lt;$Q$6,  $U$23*$C236+$V$23,
  $C236&lt;$Q$7,  $U$24*$C236+$V$24,
  $C236&lt;$Q$8, $U$25*$C236+$V$25,
  $C236&lt;$Q$9, $U$26*$C236+$V$26,
  $C236&lt;$Q$10, $U$27*$C236+$V$27,
  $C236&lt;$Q$11,  $U$28*$C236+$V$28,
  $C236&lt;$Q$12, $U$29*$C236+$V$29,
  $U$30*$C236+$V$30
)</f>
        <v>3.4</v>
      </c>
      <c r="H236" cm="1">
        <f t="array" ref="H236">_xlfn.LET(
  _xlpm.y,$C236,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0.24271844660194175</v>
      </c>
      <c r="I236" cm="1">
        <f t="array" ref="I236">_xlfn.LET(
  _xlpm.y,$C236,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0.75728155339805825</v>
      </c>
      <c r="J236" cm="1">
        <f t="array" ref="J236">_xlfn.LET(
  _xlpm.y,$C236,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6" cm="1">
        <f t="array" ref="K236">_xlfn.LET(
  _xlpm.y,$C236,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6" cm="1">
        <f t="array" ref="L236">_xlfn.LET(
  _xlpm.y,$C236,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6" cm="1">
        <f t="array" ref="M236">_xlfn.SWITCH(TRUE,
  $C236&lt;$Q$5,  $D$22,
  $C236&lt;$Q$6,  $D$23,
  $C236&lt;$Q$7,  $D$24,
  $C236&lt;$Q$8,  $D$25,
  $C236&lt;$Q$9,  $D$26,
  $C236&lt;$Q$10,  $D$27,
  $C236&lt;$Q$11,  $D$28,
  $C236&lt;$Q$12,  $D$29,
  $C236&lt;$Q$13,  $D$30,
  $C236&lt;100,  $D$31,
)</f>
        <v>0</v>
      </c>
      <c r="N236">
        <v>2.8961257053351579</v>
      </c>
      <c r="O236">
        <v>5.3770001405606154</v>
      </c>
      <c r="P236">
        <v>4.2231858939327429</v>
      </c>
      <c r="Q236" s="129">
        <v>0.11080734668594132</v>
      </c>
      <c r="R236" s="244" cm="1">
        <f t="array" ref="R236">_xlfn.SWITCH(TRUE,
  $C236&lt;$Q$5,  $S$41*$C236+$T$41,
  $C236&lt;$Q$6,  $S$42*$C236+$T$42,
  $C236&lt;$Q$7,  $S$43*$C236+$T$43,
  $C236&lt;$Q$8, $S$44*$C236+$T$44,
  $C236&lt;$Q$9, $S$45*$C236+$T$45,
  $C236&lt;$Q$10, $S$46*$C236+$T$46,
  $C236&lt;$Q$11,  $S$47*$C236+$T$47,
  $C236&lt;$Q$12, $S$48*$C236+$T$48,
  $S$49*$C236+$T$49
)</f>
        <v>0.91825242718446609</v>
      </c>
      <c r="S236" cm="1">
        <f t="array" ref="S236">_xlfn.SWITCH(TRUE,
  $C236&lt;$Q$5,  $U$41*$C236+$V$41,
  $C236&lt;$Q$6,  $U$42*$C236+$V$42,
  $C236&lt;$Q$7,  $U$43*$C236+$V$43,
  $C236&lt;$Q$8, $U$44*$C236+$V$44,
  $C236&lt;$Q$9, $U$45*$C236+$V$45,
  $C236&lt;$Q$10, $U$46*$C236+$V$46,
  $C236&lt;$Q$11,  $U$47*$C236+$V$47,
  $C236&lt;$Q$12, $U$48*$C236+$V$48,
  $U$49*$C236+$V$49
)</f>
        <v>3.8</v>
      </c>
      <c r="T236">
        <f t="shared" si="14"/>
        <v>0.24271844660194175</v>
      </c>
      <c r="U236">
        <f t="shared" si="15"/>
        <v>0.75728155339805825</v>
      </c>
      <c r="V236">
        <f t="shared" si="16"/>
        <v>0</v>
      </c>
      <c r="W236">
        <f t="shared" si="17"/>
        <v>0</v>
      </c>
      <c r="X236">
        <f t="shared" si="18"/>
        <v>0</v>
      </c>
      <c r="Y236">
        <f t="shared" si="19"/>
        <v>0</v>
      </c>
      <c r="Z236">
        <v>2.6235162738708011</v>
      </c>
      <c r="AA236">
        <v>4.915144083559265</v>
      </c>
      <c r="AB236">
        <v>4.223485612856142</v>
      </c>
      <c r="AC236" s="129">
        <v>0.10147202106464366</v>
      </c>
      <c r="AD236" s="244" cm="1">
        <f t="array" ref="AD236">_xlfn.SWITCH(TRUE,
  $C236&lt;$Q$5,  $S$61*$C236+$T$61,
  $C236&lt;$Q$6,  $S$62*$C236+$T$62,
  $C236&lt;$Q$7,  $S$63*$C236+$T$63,
  $C236&lt;$Q$8, $S$64*$C236+$T$64,
  $C236&lt;$Q$9, $S$65*$C236+$T$65,
  $C236&lt;$Q$10, $S$66*$C236+$T$66,
  $C236&lt;$Q$11,  $S$67*$C236+$T$67,
  $C236&lt;$Q$12, $S$68*$C236+$T$68,
  $S$69*$C236+$T$69
)</f>
        <v>0.92582524271844657</v>
      </c>
      <c r="AE236" cm="1">
        <f t="array" ref="AE236">_xlfn.SWITCH(TRUE,
  $C236&lt;$Q$5,  $U$61*$C236+$V$61,
  $C236&lt;$Q$6,  $U$62*$C236+$V$62,
  $C236&lt;$Q$7,  $U$63*$C236+$V$63,
  $C236&lt;$Q$8, $U$64*$C236+$V$64,
  $C236&lt;$Q$9, $U$65*$C236+$V$65,
  $C236&lt;$Q$10, $U$66*$C236+$V$66,
  $C236&lt;$Q$11,  $U$67*$C236+$V$67,
  $C236&lt;$Q$12, $U$68*$C236+$V$68,
  $U$69*$C236+$V$69
)</f>
        <v>3.8485436893203882</v>
      </c>
      <c r="AF236" cm="1">
        <f t="array" ref="AF236">_xlfn.LET(
  _xlpm.y,$C236,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0.24271844660194175</v>
      </c>
      <c r="AG236" cm="1">
        <f t="array" ref="AG236">_xlfn.LET(
  _xlpm.y,$C236,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0.75728155339805825</v>
      </c>
      <c r="AH236" cm="1">
        <f t="array" ref="AH236">_xlfn.LET(
  _xlpm.y,$C236,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6" cm="1">
        <f t="array" ref="AI236">_xlfn.LET(
  _xlpm.y,$C236,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6" cm="1">
        <f t="array" ref="AJ236">_xlfn.LET(
  _xlpm.y,$C236,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6">
        <f t="shared" si="20"/>
        <v>0</v>
      </c>
      <c r="AL236">
        <v>2.5884905264193656</v>
      </c>
      <c r="AM236">
        <v>4.5233452089975401</v>
      </c>
      <c r="AN236">
        <v>4.2235166590476485</v>
      </c>
      <c r="AO236">
        <v>0.10050020588832749</v>
      </c>
    </row>
    <row r="237" spans="2:41">
      <c r="B237">
        <f>'主翼(型紙出力)'!B80</f>
        <v>29</v>
      </c>
      <c r="C237">
        <f>INT(('主翼(型紙出力)'!C80)*1000)/1000</f>
        <v>4.375</v>
      </c>
      <c r="D237">
        <f>'主翼(型紙出力)'!E80</f>
        <v>0.15</v>
      </c>
      <c r="E237">
        <f>'主翼(重量推算)'!CE77</f>
        <v>2.0037154910415524</v>
      </c>
      <c r="F237" s="244" cm="1">
        <f t="array" ref="F237">_xlfn.SWITCH(TRUE,
  $C237&lt;$Q$5,  $S$22*$C237+$T$22,
  $C237&lt;$Q$6,  $S$23*$C237+$T$23,
  $C237&lt;$Q$7,  $S$24*$C237+$T$24,
  $C237&lt;$Q$8, $S$25*$C237+$T$25,
  $C237&lt;$Q$9, $S$26*$C237+$T$26,
  $C237&lt;$Q$10, $S$27*$C237+$T$27,
  $C237&lt;$Q$11,  $S$28*$C237+$T$28,
  $C237&lt;$Q$12, $S$29*$C237+$T$29,
  $S$30*$C237+$T$30
)</f>
        <v>1.0021359223300972</v>
      </c>
      <c r="G237" cm="1">
        <f t="array" ref="G237">_xlfn.SWITCH(TRUE,
  $C237&lt;$Q$5,  $U$22*$C237+$V$22,
  $C237&lt;$Q$6,  $U$23*$C237+$V$23,
  $C237&lt;$Q$7,  $U$24*$C237+$V$24,
  $C237&lt;$Q$8, $U$25*$C237+$V$25,
  $C237&lt;$Q$9, $U$26*$C237+$V$26,
  $C237&lt;$Q$10, $U$27*$C237+$V$27,
  $C237&lt;$Q$11,  $U$28*$C237+$V$28,
  $C237&lt;$Q$12, $U$29*$C237+$V$29,
  $U$30*$C237+$V$30
)</f>
        <v>3.4</v>
      </c>
      <c r="H237" cm="1">
        <f t="array" ref="H237">_xlfn.LET(
  _xlpm.y,$C237,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0.18446601941747565</v>
      </c>
      <c r="I237" cm="1">
        <f t="array" ref="I237">_xlfn.LET(
  _xlpm.y,$C237,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0.81553398058252435</v>
      </c>
      <c r="J237" cm="1">
        <f t="array" ref="J237">_xlfn.LET(
  _xlpm.y,$C237,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7" cm="1">
        <f t="array" ref="K237">_xlfn.LET(
  _xlpm.y,$C237,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7" cm="1">
        <f t="array" ref="L237">_xlfn.LET(
  _xlpm.y,$C237,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7" cm="1">
        <f t="array" ref="M237">_xlfn.SWITCH(TRUE,
  $C237&lt;$Q$5,  $D$22,
  $C237&lt;$Q$6,  $D$23,
  $C237&lt;$Q$7,  $D$24,
  $C237&lt;$Q$8,  $D$25,
  $C237&lt;$Q$9,  $D$26,
  $C237&lt;$Q$10,  $D$27,
  $C237&lt;$Q$11,  $D$28,
  $C237&lt;$Q$12,  $D$29,
  $C237&lt;$Q$13,  $D$30,
  $C237&lt;100,  $D$31,
)</f>
        <v>0</v>
      </c>
      <c r="N237">
        <v>2.9994248280152171</v>
      </c>
      <c r="O237">
        <v>5.3386171298848586</v>
      </c>
      <c r="P237">
        <v>4.3729943103259883</v>
      </c>
      <c r="Q237" s="129">
        <v>0.11838615778979832</v>
      </c>
      <c r="R237" s="244" cm="1">
        <f t="array" ref="R237">_xlfn.SWITCH(TRUE,
  $C237&lt;$Q$5,  $S$41*$C237+$T$41,
  $C237&lt;$Q$6,  $S$42*$C237+$T$42,
  $C237&lt;$Q$7,  $S$43*$C237+$T$43,
  $C237&lt;$Q$8, $S$44*$C237+$T$44,
  $C237&lt;$Q$9, $S$45*$C237+$T$45,
  $C237&lt;$Q$10, $S$46*$C237+$T$46,
  $C237&lt;$Q$11,  $S$47*$C237+$T$47,
  $C237&lt;$Q$12, $S$48*$C237+$T$48,
  $S$49*$C237+$T$49
)</f>
        <v>0.90427184466019406</v>
      </c>
      <c r="S237" cm="1">
        <f t="array" ref="S237">_xlfn.SWITCH(TRUE,
  $C237&lt;$Q$5,  $U$41*$C237+$V$41,
  $C237&lt;$Q$6,  $U$42*$C237+$V$42,
  $C237&lt;$Q$7,  $U$43*$C237+$V$43,
  $C237&lt;$Q$8, $U$44*$C237+$V$44,
  $C237&lt;$Q$9, $U$45*$C237+$V$45,
  $C237&lt;$Q$10, $U$46*$C237+$V$46,
  $C237&lt;$Q$11,  $U$47*$C237+$V$47,
  $C237&lt;$Q$12, $U$48*$C237+$V$48,
  $U$49*$C237+$V$49
)</f>
        <v>3.8</v>
      </c>
      <c r="T237">
        <f t="shared" si="14"/>
        <v>0.18446601941747565</v>
      </c>
      <c r="U237">
        <f t="shared" si="15"/>
        <v>0.81553398058252435</v>
      </c>
      <c r="V237">
        <f t="shared" si="16"/>
        <v>0</v>
      </c>
      <c r="W237">
        <f t="shared" si="17"/>
        <v>0</v>
      </c>
      <c r="X237">
        <f t="shared" si="18"/>
        <v>0</v>
      </c>
      <c r="Y237">
        <f t="shared" si="19"/>
        <v>0</v>
      </c>
      <c r="Z237">
        <v>2.7142347842798289</v>
      </c>
      <c r="AA237">
        <v>4.865592309177396</v>
      </c>
      <c r="AB237">
        <v>4.3733283929102029</v>
      </c>
      <c r="AC237" s="129">
        <v>0.10833797079285447</v>
      </c>
      <c r="AD237" s="244" cm="1">
        <f t="array" ref="AD237">_xlfn.SWITCH(TRUE,
  $C237&lt;$Q$5,  $S$61*$C237+$T$61,
  $C237&lt;$Q$6,  $S$62*$C237+$T$62,
  $C237&lt;$Q$7,  $S$63*$C237+$T$63,
  $C237&lt;$Q$8, $S$64*$C237+$T$64,
  $C237&lt;$Q$9, $S$65*$C237+$T$65,
  $C237&lt;$Q$10, $S$66*$C237+$T$66,
  $C237&lt;$Q$11,  $S$67*$C237+$T$67,
  $C237&lt;$Q$12, $S$68*$C237+$T$68,
  $S$69*$C237+$T$69
)</f>
        <v>0.91242718446601945</v>
      </c>
      <c r="AE237" cm="1">
        <f t="array" ref="AE237">_xlfn.SWITCH(TRUE,
  $C237&lt;$Q$5,  $U$61*$C237+$V$61,
  $C237&lt;$Q$6,  $U$62*$C237+$V$62,
  $C237&lt;$Q$7,  $U$63*$C237+$V$63,
  $C237&lt;$Q$8, $U$64*$C237+$V$64,
  $C237&lt;$Q$9, $U$65*$C237+$V$65,
  $C237&lt;$Q$10, $U$66*$C237+$V$66,
  $C237&lt;$Q$11,  $U$67*$C237+$V$67,
  $C237&lt;$Q$12, $U$68*$C237+$V$68,
  $U$69*$C237+$V$69
)</f>
        <v>3.8368932038834949</v>
      </c>
      <c r="AF237" cm="1">
        <f t="array" ref="AF237">_xlfn.LET(
  _xlpm.y,$C237,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0.18446601941747565</v>
      </c>
      <c r="AG237" cm="1">
        <f t="array" ref="AG237">_xlfn.LET(
  _xlpm.y,$C237,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0.81553398058252435</v>
      </c>
      <c r="AH237" cm="1">
        <f t="array" ref="AH237">_xlfn.LET(
  _xlpm.y,$C237,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7" cm="1">
        <f t="array" ref="AI237">_xlfn.LET(
  _xlpm.y,$C237,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7" cm="1">
        <f t="array" ref="AJ237">_xlfn.LET(
  _xlpm.y,$C237,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7">
        <f t="shared" si="20"/>
        <v>0</v>
      </c>
      <c r="AL237">
        <v>2.6768575039837401</v>
      </c>
      <c r="AM237">
        <v>4.4771141722140895</v>
      </c>
      <c r="AN237">
        <v>4.3733636083583303</v>
      </c>
      <c r="AO237">
        <v>0.10727455325777278</v>
      </c>
    </row>
    <row r="238" spans="2:41">
      <c r="B238">
        <f>'主翼(型紙出力)'!B81</f>
        <v>30</v>
      </c>
      <c r="C238">
        <f>INT(('主翼(型紙出力)'!C81)*1000)/1000</f>
        <v>4.5250000000000004</v>
      </c>
      <c r="D238">
        <f>'主翼(型紙出力)'!E81</f>
        <v>0.15</v>
      </c>
      <c r="E238">
        <f>'主翼(重量推算)'!CE78</f>
        <v>1.9726950296021208</v>
      </c>
      <c r="F238" s="244" cm="1">
        <f t="array" ref="F238">_xlfn.SWITCH(TRUE,
  $C238&lt;$Q$5,  $S$22*$C238+$T$22,
  $C238&lt;$Q$6,  $S$23*$C238+$T$23,
  $C238&lt;$Q$7,  $S$24*$C238+$T$24,
  $C238&lt;$Q$8, $S$25*$C238+$T$25,
  $C238&lt;$Q$9, $S$26*$C238+$T$26,
  $C238&lt;$Q$10, $S$27*$C238+$T$27,
  $C238&lt;$Q$11,  $S$28*$C238+$T$28,
  $C238&lt;$Q$12, $S$29*$C238+$T$29,
  $S$30*$C238+$T$30
)</f>
        <v>0.99514563106796128</v>
      </c>
      <c r="G238" cm="1">
        <f t="array" ref="G238">_xlfn.SWITCH(TRUE,
  $C238&lt;$Q$5,  $U$22*$C238+$V$22,
  $C238&lt;$Q$6,  $U$23*$C238+$V$23,
  $C238&lt;$Q$7,  $U$24*$C238+$V$24,
  $C238&lt;$Q$8, $U$25*$C238+$V$25,
  $C238&lt;$Q$9, $U$26*$C238+$V$26,
  $C238&lt;$Q$10, $U$27*$C238+$V$27,
  $C238&lt;$Q$11,  $U$28*$C238+$V$28,
  $C238&lt;$Q$12, $U$29*$C238+$V$29,
  $U$30*$C238+$V$30
)</f>
        <v>3.4</v>
      </c>
      <c r="H238" cm="1">
        <f t="array" ref="H238">_xlfn.LET(
  _xlpm.y,$C238,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0.12621359223300943</v>
      </c>
      <c r="I238" cm="1">
        <f t="array" ref="I238">_xlfn.LET(
  _xlpm.y,$C238,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0.87378640776699057</v>
      </c>
      <c r="J238" cm="1">
        <f t="array" ref="J238">_xlfn.LET(
  _xlpm.y,$C238,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8" cm="1">
        <f t="array" ref="K238">_xlfn.LET(
  _xlpm.y,$C238,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8" cm="1">
        <f t="array" ref="L238">_xlfn.LET(
  _xlpm.y,$C238,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8" cm="1">
        <f t="array" ref="M238">_xlfn.SWITCH(TRUE,
  $C238&lt;$Q$5,  $D$22,
  $C238&lt;$Q$6,  $D$23,
  $C238&lt;$Q$7,  $D$24,
  $C238&lt;$Q$8,  $D$25,
  $C238&lt;$Q$9,  $D$26,
  $C238&lt;$Q$10,  $D$27,
  $C238&lt;$Q$11,  $D$28,
  $C238&lt;$Q$12,  $D$29,
  $C238&lt;$Q$13,  $D$30,
  $C238&lt;100,  $D$31,
)</f>
        <v>0</v>
      </c>
      <c r="N238">
        <v>3.1030824468448062</v>
      </c>
      <c r="O238">
        <v>5.2982336081657326</v>
      </c>
      <c r="P238">
        <v>4.5227888193389383</v>
      </c>
      <c r="Q238" s="129">
        <v>0.1262350474927515</v>
      </c>
      <c r="R238" s="244" cm="1">
        <f t="array" ref="R238">_xlfn.SWITCH(TRUE,
  $C238&lt;$Q$5,  $S$41*$C238+$T$41,
  $C238&lt;$Q$6,  $S$42*$C238+$T$42,
  $C238&lt;$Q$7,  $S$43*$C238+$T$43,
  $C238&lt;$Q$8, $S$44*$C238+$T$44,
  $C238&lt;$Q$9, $S$45*$C238+$T$45,
  $C238&lt;$Q$10, $S$46*$C238+$T$46,
  $C238&lt;$Q$11,  $S$47*$C238+$T$47,
  $C238&lt;$Q$12, $S$48*$C238+$T$48,
  $S$49*$C238+$T$49
)</f>
        <v>0.89029126213592225</v>
      </c>
      <c r="S238" cm="1">
        <f t="array" ref="S238">_xlfn.SWITCH(TRUE,
  $C238&lt;$Q$5,  $U$41*$C238+$V$41,
  $C238&lt;$Q$6,  $U$42*$C238+$V$42,
  $C238&lt;$Q$7,  $U$43*$C238+$V$43,
  $C238&lt;$Q$8, $U$44*$C238+$V$44,
  $C238&lt;$Q$9, $U$45*$C238+$V$45,
  $C238&lt;$Q$10, $U$46*$C238+$V$46,
  $C238&lt;$Q$11,  $U$47*$C238+$V$47,
  $C238&lt;$Q$12, $U$48*$C238+$V$48,
  $U$49*$C238+$V$49
)</f>
        <v>3.8</v>
      </c>
      <c r="T238">
        <f t="shared" si="14"/>
        <v>0.12621359223300943</v>
      </c>
      <c r="U238">
        <f t="shared" si="15"/>
        <v>0.87378640776699057</v>
      </c>
      <c r="V238">
        <f t="shared" si="16"/>
        <v>0</v>
      </c>
      <c r="W238">
        <f t="shared" si="17"/>
        <v>0</v>
      </c>
      <c r="X238">
        <f t="shared" si="18"/>
        <v>0</v>
      </c>
      <c r="Y238">
        <f t="shared" si="19"/>
        <v>0</v>
      </c>
      <c r="Z238">
        <v>2.8050860961356303</v>
      </c>
      <c r="AA238">
        <v>4.8151123250122945</v>
      </c>
      <c r="AB238">
        <v>4.5231601140341056</v>
      </c>
      <c r="AC238" s="129">
        <v>0.11544116338838449</v>
      </c>
      <c r="AD238" s="244" cm="1">
        <f t="array" ref="AD238">_xlfn.SWITCH(TRUE,
  $C238&lt;$Q$5,  $S$61*$C238+$T$61,
  $C238&lt;$Q$6,  $S$62*$C238+$T$62,
  $C238&lt;$Q$7,  $S$63*$C238+$T$63,
  $C238&lt;$Q$8, $S$64*$C238+$T$64,
  $C238&lt;$Q$9, $S$65*$C238+$T$65,
  $C238&lt;$Q$10, $S$66*$C238+$T$66,
  $C238&lt;$Q$11,  $S$67*$C238+$T$67,
  $C238&lt;$Q$12, $S$68*$C238+$T$68,
  $S$69*$C238+$T$69
)</f>
        <v>0.8990291262135921</v>
      </c>
      <c r="AE238" cm="1">
        <f t="array" ref="AE238">_xlfn.SWITCH(TRUE,
  $C238&lt;$Q$5,  $U$61*$C238+$V$61,
  $C238&lt;$Q$6,  $U$62*$C238+$V$62,
  $C238&lt;$Q$7,  $U$63*$C238+$V$63,
  $C238&lt;$Q$8, $U$64*$C238+$V$64,
  $C238&lt;$Q$9, $U$65*$C238+$V$65,
  $C238&lt;$Q$10, $U$66*$C238+$V$66,
  $C238&lt;$Q$11,  $U$67*$C238+$V$67,
  $C238&lt;$Q$12, $U$68*$C238+$V$68,
  $U$69*$C238+$V$69
)</f>
        <v>3.8252427184466016</v>
      </c>
      <c r="AF238" cm="1">
        <f t="array" ref="AF238">_xlfn.LET(
  _xlpm.y,$C238,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0.12621359223300943</v>
      </c>
      <c r="AG238" cm="1">
        <f t="array" ref="AG238">_xlfn.LET(
  _xlpm.y,$C238,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0.87378640776699057</v>
      </c>
      <c r="AH238" cm="1">
        <f t="array" ref="AH238">_xlfn.LET(
  _xlpm.y,$C238,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8" cm="1">
        <f t="array" ref="AI238">_xlfn.LET(
  _xlpm.y,$C238,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8" cm="1">
        <f t="array" ref="AJ238">_xlfn.LET(
  _xlpm.y,$C238,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8">
        <f t="shared" si="20"/>
        <v>0</v>
      </c>
      <c r="AL238">
        <v>2.7652594769719956</v>
      </c>
      <c r="AM238">
        <v>4.4306217600033904</v>
      </c>
      <c r="AN238">
        <v>4.523199931414644</v>
      </c>
      <c r="AO238">
        <v>0.11428000063563129</v>
      </c>
    </row>
    <row r="239" spans="2:41">
      <c r="B239">
        <f>'主翼(型紙出力)'!B82</f>
        <v>31</v>
      </c>
      <c r="C239">
        <f>INT(('主翼(型紙出力)'!C82)*1000)/1000</f>
        <v>4.6749999999999998</v>
      </c>
      <c r="D239">
        <f>'主翼(型紙出力)'!E82</f>
        <v>0.17499999999999999</v>
      </c>
      <c r="E239">
        <f>'主翼(重量推算)'!CE79</f>
        <v>3.1872845043357998</v>
      </c>
      <c r="F239" s="244" cm="1">
        <f t="array" ref="F239">_xlfn.SWITCH(TRUE,
  $C239&lt;$Q$5,  $S$22*$C239+$T$22,
  $C239&lt;$Q$6,  $S$23*$C239+$T$23,
  $C239&lt;$Q$7,  $S$24*$C239+$T$24,
  $C239&lt;$Q$8, $S$25*$C239+$T$25,
  $C239&lt;$Q$9, $S$26*$C239+$T$26,
  $C239&lt;$Q$10, $S$27*$C239+$T$27,
  $C239&lt;$Q$11,  $S$28*$C239+$T$28,
  $C239&lt;$Q$12, $S$29*$C239+$T$29,
  $S$30*$C239+$T$30
)</f>
        <v>0.98815533980582537</v>
      </c>
      <c r="G239" cm="1">
        <f t="array" ref="G239">_xlfn.SWITCH(TRUE,
  $C239&lt;$Q$5,  $U$22*$C239+$V$22,
  $C239&lt;$Q$6,  $U$23*$C239+$V$23,
  $C239&lt;$Q$7,  $U$24*$C239+$V$24,
  $C239&lt;$Q$8, $U$25*$C239+$V$25,
  $C239&lt;$Q$9, $U$26*$C239+$V$26,
  $C239&lt;$Q$10, $U$27*$C239+$V$27,
  $C239&lt;$Q$11,  $U$28*$C239+$V$28,
  $C239&lt;$Q$12, $U$29*$C239+$V$29,
  $U$30*$C239+$V$30
)</f>
        <v>3.4</v>
      </c>
      <c r="H239" cm="1">
        <f t="array" ref="H239">_xlfn.LET(
  _xlpm.y,$C239,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6.7961165048543659E-2</v>
      </c>
      <c r="I239" cm="1">
        <f t="array" ref="I239">_xlfn.LET(
  _xlpm.y,$C239,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0.93203883495145634</v>
      </c>
      <c r="J239" cm="1">
        <f t="array" ref="J239">_xlfn.LET(
  _xlpm.y,$C239,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9" cm="1">
        <f t="array" ref="K239">_xlfn.LET(
  _xlpm.y,$C239,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9" cm="1">
        <f t="array" ref="L239">_xlfn.LET(
  _xlpm.y,$C239,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9" cm="1">
        <f t="array" ref="M239">_xlfn.SWITCH(TRUE,
  $C239&lt;$Q$5,  $D$22,
  $C239&lt;$Q$6,  $D$23,
  $C239&lt;$Q$7,  $D$24,
  $C239&lt;$Q$8,  $D$25,
  $C239&lt;$Q$9,  $D$26,
  $C239&lt;$Q$10,  $D$27,
  $C239&lt;$Q$11,  $D$28,
  $C239&lt;$Q$12,  $D$29,
  $C239&lt;$Q$13,  $D$30,
  $C239&lt;100,  $D$31,
)</f>
        <v>0</v>
      </c>
      <c r="N239">
        <v>3.2143087767161083</v>
      </c>
      <c r="O239">
        <v>5.252311089773257</v>
      </c>
      <c r="P239">
        <v>4.672568883264451</v>
      </c>
      <c r="Q239" s="129">
        <v>0.13435492744687649</v>
      </c>
      <c r="R239" s="244" cm="1">
        <f t="array" ref="R239">_xlfn.SWITCH(TRUE,
  $C239&lt;$Q$5,  $S$41*$C239+$T$41,
  $C239&lt;$Q$6,  $S$42*$C239+$T$42,
  $C239&lt;$Q$7,  $S$43*$C239+$T$43,
  $C239&lt;$Q$8, $S$44*$C239+$T$44,
  $C239&lt;$Q$9, $S$45*$C239+$T$45,
  $C239&lt;$Q$10, $S$46*$C239+$T$46,
  $C239&lt;$Q$11,  $S$47*$C239+$T$47,
  $C239&lt;$Q$12, $S$48*$C239+$T$48,
  $S$49*$C239+$T$49
)</f>
        <v>0.87631067961165043</v>
      </c>
      <c r="S239" cm="1">
        <f t="array" ref="S239">_xlfn.SWITCH(TRUE,
  $C239&lt;$Q$5,  $U$41*$C239+$V$41,
  $C239&lt;$Q$6,  $U$42*$C239+$V$42,
  $C239&lt;$Q$7,  $U$43*$C239+$V$43,
  $C239&lt;$Q$8, $U$44*$C239+$V$44,
  $C239&lt;$Q$9, $U$45*$C239+$V$45,
  $C239&lt;$Q$10, $U$46*$C239+$V$46,
  $C239&lt;$Q$11,  $U$47*$C239+$V$47,
  $C239&lt;$Q$12, $U$48*$C239+$V$48,
  $U$49*$C239+$V$49
)</f>
        <v>3.8</v>
      </c>
      <c r="T239">
        <f t="shared" si="14"/>
        <v>6.7961165048543659E-2</v>
      </c>
      <c r="U239">
        <f t="shared" si="15"/>
        <v>0.93203883495145634</v>
      </c>
      <c r="V239">
        <f t="shared" si="16"/>
        <v>0</v>
      </c>
      <c r="W239">
        <f t="shared" si="17"/>
        <v>0</v>
      </c>
      <c r="X239">
        <f t="shared" si="18"/>
        <v>0</v>
      </c>
      <c r="Y239">
        <f t="shared" si="19"/>
        <v>0</v>
      </c>
      <c r="Z239">
        <v>2.9023449272652773</v>
      </c>
      <c r="AA239">
        <v>4.7594311301483803</v>
      </c>
      <c r="AB239">
        <v>4.6729803835923418</v>
      </c>
      <c r="AC239" s="129">
        <v>0.12278192830066362</v>
      </c>
      <c r="AD239" s="244" cm="1">
        <f t="array" ref="AD239">_xlfn.SWITCH(TRUE,
  $C239&lt;$Q$5,  $S$61*$C239+$T$61,
  $C239&lt;$Q$6,  $S$62*$C239+$T$62,
  $C239&lt;$Q$7,  $S$63*$C239+$T$63,
  $C239&lt;$Q$8, $S$64*$C239+$T$64,
  $C239&lt;$Q$9, $S$65*$C239+$T$65,
  $C239&lt;$Q$10, $S$66*$C239+$T$66,
  $C239&lt;$Q$11,  $S$67*$C239+$T$67,
  $C239&lt;$Q$12, $S$68*$C239+$T$68,
  $S$69*$C239+$T$69
)</f>
        <v>0.88563106796116497</v>
      </c>
      <c r="AE239" cm="1">
        <f t="array" ref="AE239">_xlfn.SWITCH(TRUE,
  $C239&lt;$Q$5,  $U$61*$C239+$V$61,
  $C239&lt;$Q$6,  $U$62*$C239+$V$62,
  $C239&lt;$Q$7,  $U$63*$C239+$V$63,
  $C239&lt;$Q$8, $U$64*$C239+$V$64,
  $C239&lt;$Q$9, $U$65*$C239+$V$65,
  $C239&lt;$Q$10, $U$66*$C239+$V$66,
  $C239&lt;$Q$11,  $U$67*$C239+$V$67,
  $C239&lt;$Q$12, $U$68*$C239+$V$68,
  $U$69*$C239+$V$69
)</f>
        <v>3.8135922330097083</v>
      </c>
      <c r="AF239" cm="1">
        <f t="array" ref="AF239">_xlfn.LET(
  _xlpm.y,$C239,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6.7961165048543659E-2</v>
      </c>
      <c r="AG239" cm="1">
        <f t="array" ref="AG239">_xlfn.LET(
  _xlpm.y,$C239,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0.93203883495145634</v>
      </c>
      <c r="AH239" cm="1">
        <f t="array" ref="AH239">_xlfn.LET(
  _xlpm.y,$C239,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9" cm="1">
        <f t="array" ref="AI239">_xlfn.LET(
  _xlpm.y,$C239,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9" cm="1">
        <f t="array" ref="AJ239">_xlfn.LET(
  _xlpm.y,$C239,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9">
        <f t="shared" si="20"/>
        <v>0</v>
      </c>
      <c r="AL239">
        <v>2.8597789270300029</v>
      </c>
      <c r="AM239">
        <v>4.3799790186825778</v>
      </c>
      <c r="AN239">
        <v>4.6730252673850545</v>
      </c>
      <c r="AO239">
        <v>0.1215166228693626</v>
      </c>
    </row>
    <row r="240" spans="2:41">
      <c r="B240">
        <f>'主翼(型紙出力)'!B83</f>
        <v>32</v>
      </c>
      <c r="C240">
        <f>INT(('主翼(型紙出力)'!C83)*1000)/1000</f>
        <v>4.8499999999999996</v>
      </c>
      <c r="D240">
        <f>'主翼(型紙出力)'!E83</f>
        <v>0.2</v>
      </c>
      <c r="E240">
        <f>'主翼(重量推算)'!CE80</f>
        <v>7.084872533105071</v>
      </c>
      <c r="F240" s="244" cm="1">
        <f t="array" ref="F240">_xlfn.SWITCH(TRUE,
  $C240&lt;$Q$5,  $S$22*$C240+$T$22,
  $C240&lt;$Q$6,  $S$23*$C240+$T$23,
  $C240&lt;$Q$7,  $S$24*$C240+$T$24,
  $C240&lt;$Q$8, $S$25*$C240+$T$25,
  $C240&lt;$Q$9, $S$26*$C240+$T$26,
  $C240&lt;$Q$10, $S$27*$C240+$T$27,
  $C240&lt;$Q$11,  $S$28*$C240+$T$28,
  $C240&lt;$Q$12, $S$29*$C240+$T$29,
  $S$30*$C240+$T$30
)</f>
        <v>0.98</v>
      </c>
      <c r="G240" cm="1">
        <f t="array" ref="G240">_xlfn.SWITCH(TRUE,
  $C240&lt;$Q$5,  $U$22*$C240+$V$22,
  $C240&lt;$Q$6,  $U$23*$C240+$V$23,
  $C240&lt;$Q$7,  $U$24*$C240+$V$24,
  $C240&lt;$Q$8, $U$25*$C240+$V$25,
  $C240&lt;$Q$9, $U$26*$C240+$V$26,
  $C240&lt;$Q$10, $U$27*$C240+$V$27,
  $C240&lt;$Q$11,  $U$28*$C240+$V$28,
  $C240&lt;$Q$12, $U$29*$C240+$V$29,
  $U$30*$C240+$V$30
)</f>
        <v>3.4</v>
      </c>
      <c r="H240" cm="1">
        <f t="array" ref="H240">_xlfn.LET(
  _xlpm.y,$C240,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0" cm="1">
        <f t="array" ref="I240">_xlfn.LET(
  _xlpm.y,$C240,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0" cm="1">
        <f t="array" ref="J240">_xlfn.LET(
  _xlpm.y,$C240,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0" cm="1">
        <f t="array" ref="K240">_xlfn.LET(
  _xlpm.y,$C240,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0" cm="1">
        <f t="array" ref="L240">_xlfn.LET(
  _xlpm.y,$C240,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0" cm="1">
        <f t="array" ref="M240">_xlfn.SWITCH(TRUE,
  $C240&lt;$Q$5,  $D$22,
  $C240&lt;$Q$6,  $D$23,
  $C240&lt;$Q$7,  $D$24,
  $C240&lt;$Q$8,  $D$25,
  $C240&lt;$Q$9,  $D$26,
  $C240&lt;$Q$10,  $D$27,
  $C240&lt;$Q$11,  $D$28,
  $C240&lt;$Q$12,  $D$29,
  $C240&lt;$Q$13,  $D$30,
  $C240&lt;100,  $D$31,
)</f>
        <v>0</v>
      </c>
      <c r="N240">
        <v>3.3384152939946916</v>
      </c>
      <c r="O240">
        <v>5.196644135995351</v>
      </c>
      <c r="P240">
        <v>4.8472935719429424</v>
      </c>
      <c r="Q240" s="129">
        <v>0.14416732604275401</v>
      </c>
      <c r="R240" s="244" cm="1">
        <f t="array" ref="R240">_xlfn.SWITCH(TRUE,
  $C240&lt;$Q$5,  $S$41*$C240+$T$41,
  $C240&lt;$Q$6,  $S$42*$C240+$T$42,
  $C240&lt;$Q$7,  $S$43*$C240+$T$43,
  $C240&lt;$Q$8, $S$44*$C240+$T$44,
  $C240&lt;$Q$9, $S$45*$C240+$T$45,
  $C240&lt;$Q$10, $S$46*$C240+$T$46,
  $C240&lt;$Q$11,  $S$47*$C240+$T$47,
  $C240&lt;$Q$12, $S$48*$C240+$T$48,
  $S$49*$C240+$T$49
)</f>
        <v>0.85999999999999988</v>
      </c>
      <c r="S240" cm="1">
        <f t="array" ref="S240">_xlfn.SWITCH(TRUE,
  $C240&lt;$Q$5,  $U$41*$C240+$V$41,
  $C240&lt;$Q$6,  $U$42*$C240+$V$42,
  $C240&lt;$Q$7,  $U$43*$C240+$V$43,
  $C240&lt;$Q$8, $U$44*$C240+$V$44,
  $C240&lt;$Q$9, $U$45*$C240+$V$45,
  $C240&lt;$Q$10, $U$46*$C240+$V$46,
  $C240&lt;$Q$11,  $U$47*$C240+$V$47,
  $C240&lt;$Q$12, $U$48*$C240+$V$48,
  $U$49*$C240+$V$49
)</f>
        <v>3.8</v>
      </c>
      <c r="T240">
        <f t="shared" si="14"/>
        <v>0</v>
      </c>
      <c r="U240">
        <f t="shared" si="15"/>
        <v>1</v>
      </c>
      <c r="V240">
        <f t="shared" si="16"/>
        <v>0</v>
      </c>
      <c r="W240">
        <f t="shared" si="17"/>
        <v>0</v>
      </c>
      <c r="X240">
        <f t="shared" si="18"/>
        <v>0</v>
      </c>
      <c r="Y240">
        <f t="shared" si="19"/>
        <v>0</v>
      </c>
      <c r="Z240">
        <v>3.0105707504227586</v>
      </c>
      <c r="AA240">
        <v>4.6939654911044713</v>
      </c>
      <c r="AB240">
        <v>4.847755908597823</v>
      </c>
      <c r="AC240" s="129">
        <v>0.13164284580724867</v>
      </c>
      <c r="AD240" s="244" cm="1">
        <f t="array" ref="AD240">_xlfn.SWITCH(TRUE,
  $C240&lt;$Q$5,  $S$61*$C240+$T$61,
  $C240&lt;$Q$6,  $S$62*$C240+$T$62,
  $C240&lt;$Q$7,  $S$63*$C240+$T$63,
  $C240&lt;$Q$8, $S$64*$C240+$T$64,
  $C240&lt;$Q$9, $S$65*$C240+$T$65,
  $C240&lt;$Q$10, $S$66*$C240+$T$66,
  $C240&lt;$Q$11,  $S$67*$C240+$T$67,
  $C240&lt;$Q$12, $S$68*$C240+$T$68,
  $S$69*$C240+$T$69
)</f>
        <v>0.87000000000000011</v>
      </c>
      <c r="AE240" cm="1">
        <f t="array" ref="AE240">_xlfn.SWITCH(TRUE,
  $C240&lt;$Q$5,  $U$61*$C240+$V$61,
  $C240&lt;$Q$6,  $U$62*$C240+$V$62,
  $C240&lt;$Q$7,  $U$63*$C240+$V$63,
  $C240&lt;$Q$8, $U$64*$C240+$V$64,
  $C240&lt;$Q$9, $U$65*$C240+$V$65,
  $C240&lt;$Q$10, $U$66*$C240+$V$66,
  $C240&lt;$Q$11,  $U$67*$C240+$V$67,
  $C240&lt;$Q$12, $U$68*$C240+$V$68,
  $U$69*$C240+$V$69
)</f>
        <v>3.8</v>
      </c>
      <c r="AF240" cm="1">
        <f t="array" ref="AF240">_xlfn.LET(
  _xlpm.y,$C240,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0" cm="1">
        <f t="array" ref="AG240">_xlfn.LET(
  _xlpm.y,$C240,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0" cm="1">
        <f t="array" ref="AH240">_xlfn.LET(
  _xlpm.y,$C240,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0" cm="1">
        <f t="array" ref="AI240">_xlfn.LET(
  _xlpm.y,$C240,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0" cm="1">
        <f t="array" ref="AJ240">_xlfn.LET(
  _xlpm.y,$C240,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0">
        <f t="shared" si="20"/>
        <v>0</v>
      </c>
      <c r="AL240">
        <v>2.9648050462339062</v>
      </c>
      <c r="AM240">
        <v>4.3211973761438225</v>
      </c>
      <c r="AN240">
        <v>4.8478073270833555</v>
      </c>
      <c r="AO240">
        <v>0.13024769425950114</v>
      </c>
    </row>
    <row r="241" spans="2:41">
      <c r="B241">
        <f>'主翼(型紙出力)'!B84</f>
        <v>33</v>
      </c>
      <c r="C241">
        <f>INT(('主翼(型紙出力)'!C84)*1000)/1000</f>
        <v>5.05</v>
      </c>
      <c r="D241">
        <f>'主翼(型紙出力)'!E84</f>
        <v>0.15</v>
      </c>
      <c r="E241">
        <f>'主翼(重量推算)'!CE81</f>
        <v>3.110660582583789</v>
      </c>
      <c r="F241" s="244" cm="1">
        <f t="array" ref="F241">_xlfn.SWITCH(TRUE,
  $C241&lt;$Q$5,  $S$22*$C241+$T$22,
  $C241&lt;$Q$6,  $S$23*$C241+$T$23,
  $C241&lt;$Q$7,  $S$24*$C241+$T$24,
  $C241&lt;$Q$8, $S$25*$C241+$T$25,
  $C241&lt;$Q$9, $S$26*$C241+$T$26,
  $C241&lt;$Q$10, $S$27*$C241+$T$27,
  $C241&lt;$Q$11,  $S$28*$C241+$T$28,
  $C241&lt;$Q$12, $S$29*$C241+$T$29,
  $S$30*$C241+$T$30
)</f>
        <v>0.96690909090909083</v>
      </c>
      <c r="G241" cm="1">
        <f t="array" ref="G241">_xlfn.SWITCH(TRUE,
  $C241&lt;$Q$5,  $U$22*$C241+$V$22,
  $C241&lt;$Q$6,  $U$23*$C241+$V$23,
  $C241&lt;$Q$7,  $U$24*$C241+$V$24,
  $C241&lt;$Q$8, $U$25*$C241+$V$25,
  $C241&lt;$Q$9, $U$26*$C241+$V$26,
  $C241&lt;$Q$10, $U$27*$C241+$V$27,
  $C241&lt;$Q$11,  $U$28*$C241+$V$28,
  $C241&lt;$Q$12, $U$29*$C241+$V$29,
  $U$30*$C241+$V$30
)</f>
        <v>3.4</v>
      </c>
      <c r="H241" cm="1">
        <f t="array" ref="H241">_xlfn.LET(
  _xlpm.y,$C241,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1" cm="1">
        <f t="array" ref="I241">_xlfn.LET(
  _xlpm.y,$C241,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1" cm="1">
        <f t="array" ref="J241">_xlfn.LET(
  _xlpm.y,$C241,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1" cm="1">
        <f t="array" ref="K241">_xlfn.LET(
  _xlpm.y,$C241,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1" cm="1">
        <f t="array" ref="L241">_xlfn.LET(
  _xlpm.y,$C241,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1" cm="1">
        <f t="array" ref="M241">_xlfn.SWITCH(TRUE,
  $C241&lt;$Q$5,  $D$22,
  $C241&lt;$Q$6,  $D$23,
  $C241&lt;$Q$7,  $D$24,
  $C241&lt;$Q$8,  $D$25,
  $C241&lt;$Q$9,  $D$26,
  $C241&lt;$Q$10,  $D$27,
  $C241&lt;$Q$11,  $D$28,
  $C241&lt;$Q$12,  $D$29,
  $C241&lt;$Q$13,  $D$30,
  $C241&lt;100,  $D$31,
)</f>
        <v>0</v>
      </c>
      <c r="N241">
        <v>3.4549324857610757</v>
      </c>
      <c r="O241">
        <v>5.1422411580523546</v>
      </c>
      <c r="P241">
        <v>5.0469541713580632</v>
      </c>
      <c r="Q241" s="129">
        <v>0.15581400115604316</v>
      </c>
      <c r="R241" s="244" cm="1">
        <f t="array" ref="R241">_xlfn.SWITCH(TRUE,
  $C241&lt;$Q$5,  $S$41*$C241+$T$41,
  $C241&lt;$Q$6,  $S$42*$C241+$T$42,
  $C241&lt;$Q$7,  $S$43*$C241+$T$43,
  $C241&lt;$Q$8, $S$44*$C241+$T$44,
  $C241&lt;$Q$9, $S$45*$C241+$T$45,
  $C241&lt;$Q$10, $S$46*$C241+$T$46,
  $C241&lt;$Q$11,  $S$47*$C241+$T$47,
  $C241&lt;$Q$12, $S$48*$C241+$T$48,
  $S$49*$C241+$T$49
)</f>
        <v>0.84981818181818169</v>
      </c>
      <c r="S241" cm="1">
        <f t="array" ref="S241">_xlfn.SWITCH(TRUE,
  $C241&lt;$Q$5,  $U$41*$C241+$V$41,
  $C241&lt;$Q$6,  $U$42*$C241+$V$42,
  $C241&lt;$Q$7,  $U$43*$C241+$V$43,
  $C241&lt;$Q$8, $U$44*$C241+$V$44,
  $C241&lt;$Q$9, $U$45*$C241+$V$45,
  $C241&lt;$Q$10, $U$46*$C241+$V$46,
  $C241&lt;$Q$11,  $U$47*$C241+$V$47,
  $C241&lt;$Q$12, $U$48*$C241+$V$48,
  $U$49*$C241+$V$49
)</f>
        <v>3.8</v>
      </c>
      <c r="T241">
        <f t="shared" si="14"/>
        <v>0</v>
      </c>
      <c r="U241">
        <f t="shared" si="15"/>
        <v>1</v>
      </c>
      <c r="V241">
        <f t="shared" si="16"/>
        <v>0</v>
      </c>
      <c r="W241">
        <f t="shared" si="17"/>
        <v>0</v>
      </c>
      <c r="X241">
        <f t="shared" si="18"/>
        <v>0</v>
      </c>
      <c r="Y241">
        <f t="shared" si="19"/>
        <v>0</v>
      </c>
      <c r="Z241">
        <v>3.1119233832779054</v>
      </c>
      <c r="AA241">
        <v>4.631748111455928</v>
      </c>
      <c r="AB241">
        <v>5.0474798810114336</v>
      </c>
      <c r="AC241" s="129">
        <v>0.1421468851887106</v>
      </c>
      <c r="AD241" s="244" cm="1">
        <f t="array" ref="AD241">_xlfn.SWITCH(TRUE,
  $C241&lt;$Q$5,  $S$61*$C241+$T$61,
  $C241&lt;$Q$6,  $S$62*$C241+$T$62,
  $C241&lt;$Q$7,  $S$63*$C241+$T$63,
  $C241&lt;$Q$8, $S$64*$C241+$T$64,
  $C241&lt;$Q$9, $S$65*$C241+$T$65,
  $C241&lt;$Q$10, $S$66*$C241+$T$66,
  $C241&lt;$Q$11,  $S$67*$C241+$T$67,
  $C241&lt;$Q$12, $S$68*$C241+$T$68,
  $S$69*$C241+$T$69
)</f>
        <v>0.85836363636363644</v>
      </c>
      <c r="AE241" cm="1">
        <f t="array" ref="AE241">_xlfn.SWITCH(TRUE,
  $C241&lt;$Q$5,  $U$61*$C241+$V$61,
  $C241&lt;$Q$6,  $U$62*$C241+$V$62,
  $C241&lt;$Q$7,  $U$63*$C241+$V$63,
  $C241&lt;$Q$8, $U$64*$C241+$V$64,
  $C241&lt;$Q$9, $U$65*$C241+$V$65,
  $C241&lt;$Q$10, $U$66*$C241+$V$66,
  $C241&lt;$Q$11,  $U$67*$C241+$V$67,
  $C241&lt;$Q$12, $U$68*$C241+$V$68,
  $U$69*$C241+$V$69
)</f>
        <v>3.8</v>
      </c>
      <c r="AF241" cm="1">
        <f t="array" ref="AF241">_xlfn.LET(
  _xlpm.y,$C241,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1" cm="1">
        <f t="array" ref="AG241">_xlfn.LET(
  _xlpm.y,$C241,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1" cm="1">
        <f t="array" ref="AH241">_xlfn.LET(
  _xlpm.y,$C241,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1" cm="1">
        <f t="array" ref="AI241">_xlfn.LET(
  _xlpm.y,$C241,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1" cm="1">
        <f t="array" ref="AJ241">_xlfn.LET(
  _xlpm.y,$C241,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1">
        <f t="shared" si="20"/>
        <v>0</v>
      </c>
      <c r="AL241">
        <v>3.0630320169613494</v>
      </c>
      <c r="AM241">
        <v>4.2659903498362004</v>
      </c>
      <c r="AN241">
        <v>5.0475396260118668</v>
      </c>
      <c r="AO241">
        <v>0.14059219834291861</v>
      </c>
    </row>
    <row r="242" spans="2:41">
      <c r="B242">
        <f>'主翼(型紙出力)'!B85</f>
        <v>34</v>
      </c>
      <c r="C242">
        <f>INT(('主翼(型紙出力)'!C85)*1000)/1000</f>
        <v>5.2</v>
      </c>
      <c r="D242">
        <f>'主翼(型紙出力)'!E85</f>
        <v>0.15</v>
      </c>
      <c r="E242">
        <f>'主翼(重量推算)'!CE82</f>
        <v>1.7379727989220675</v>
      </c>
      <c r="F242" s="244" cm="1">
        <f t="array" ref="F242">_xlfn.SWITCH(TRUE,
  $C242&lt;$Q$5,  $S$22*$C242+$T$22,
  $C242&lt;$Q$6,  $S$23*$C242+$T$23,
  $C242&lt;$Q$7,  $S$24*$C242+$T$24,
  $C242&lt;$Q$8, $S$25*$C242+$T$25,
  $C242&lt;$Q$9, $S$26*$C242+$T$26,
  $C242&lt;$Q$10, $S$27*$C242+$T$27,
  $C242&lt;$Q$11,  $S$28*$C242+$T$28,
  $C242&lt;$Q$12, $S$29*$C242+$T$29,
  $S$30*$C242+$T$30
)</f>
        <v>0.95709090909090899</v>
      </c>
      <c r="G242" cm="1">
        <f t="array" ref="G242">_xlfn.SWITCH(TRUE,
  $C242&lt;$Q$5,  $U$22*$C242+$V$22,
  $C242&lt;$Q$6,  $U$23*$C242+$V$23,
  $C242&lt;$Q$7,  $U$24*$C242+$V$24,
  $C242&lt;$Q$8, $U$25*$C242+$V$25,
  $C242&lt;$Q$9, $U$26*$C242+$V$26,
  $C242&lt;$Q$10, $U$27*$C242+$V$27,
  $C242&lt;$Q$11,  $U$28*$C242+$V$28,
  $C242&lt;$Q$12, $U$29*$C242+$V$29,
  $U$30*$C242+$V$30
)</f>
        <v>3.4</v>
      </c>
      <c r="H242" cm="1">
        <f t="array" ref="H242">_xlfn.LET(
  _xlpm.y,$C242,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2" cm="1">
        <f t="array" ref="I242">_xlfn.LET(
  _xlpm.y,$C242,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2" cm="1">
        <f t="array" ref="J242">_xlfn.LET(
  _xlpm.y,$C242,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2" cm="1">
        <f t="array" ref="K242">_xlfn.LET(
  _xlpm.y,$C242,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2" cm="1">
        <f t="array" ref="L242">_xlfn.LET(
  _xlpm.y,$C242,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2" cm="1">
        <f t="array" ref="M242">_xlfn.SWITCH(TRUE,
  $C242&lt;$Q$5,  $D$22,
  $C242&lt;$Q$6,  $D$23,
  $C242&lt;$Q$7,  $D$24,
  $C242&lt;$Q$8,  $D$25,
  $C242&lt;$Q$9,  $D$26,
  $C242&lt;$Q$10,  $D$27,
  $C242&lt;$Q$11,  $D$28,
  $C242&lt;$Q$12,  $D$29,
  $C242&lt;$Q$13,  $D$30,
  $C242&lt;100,  $D$31,
)</f>
        <v>0</v>
      </c>
      <c r="N242">
        <v>3.5629194299086109</v>
      </c>
      <c r="O242">
        <v>5.0938457453027901</v>
      </c>
      <c r="P242">
        <v>5.1966815477065254</v>
      </c>
      <c r="Q242" s="129">
        <v>0.1648535128577869</v>
      </c>
      <c r="R242" s="244" cm="1">
        <f t="array" ref="R242">_xlfn.SWITCH(TRUE,
  $C242&lt;$Q$5,  $S$41*$C242+$T$41,
  $C242&lt;$Q$6,  $S$42*$C242+$T$42,
  $C242&lt;$Q$7,  $S$43*$C242+$T$43,
  $C242&lt;$Q$8, $S$44*$C242+$T$44,
  $C242&lt;$Q$9, $S$45*$C242+$T$45,
  $C242&lt;$Q$10, $S$46*$C242+$T$46,
  $C242&lt;$Q$11,  $S$47*$C242+$T$47,
  $C242&lt;$Q$12, $S$48*$C242+$T$48,
  $S$49*$C242+$T$49
)</f>
        <v>0.84218181818181814</v>
      </c>
      <c r="S242" cm="1">
        <f t="array" ref="S242">_xlfn.SWITCH(TRUE,
  $C242&lt;$Q$5,  $U$41*$C242+$V$41,
  $C242&lt;$Q$6,  $U$42*$C242+$V$42,
  $C242&lt;$Q$7,  $U$43*$C242+$V$43,
  $C242&lt;$Q$8, $U$44*$C242+$V$44,
  $C242&lt;$Q$9, $U$45*$C242+$V$45,
  $C242&lt;$Q$10, $U$46*$C242+$V$46,
  $C242&lt;$Q$11,  $U$47*$C242+$V$47,
  $C242&lt;$Q$12, $U$48*$C242+$V$48,
  $U$49*$C242+$V$49
)</f>
        <v>3.8</v>
      </c>
      <c r="T242">
        <f t="shared" si="14"/>
        <v>0</v>
      </c>
      <c r="U242">
        <f t="shared" si="15"/>
        <v>1</v>
      </c>
      <c r="V242">
        <f t="shared" si="16"/>
        <v>0</v>
      </c>
      <c r="W242">
        <f t="shared" si="17"/>
        <v>0</v>
      </c>
      <c r="X242">
        <f t="shared" si="18"/>
        <v>0</v>
      </c>
      <c r="Y242">
        <f t="shared" si="19"/>
        <v>0</v>
      </c>
      <c r="Z242">
        <v>3.2056086319512458</v>
      </c>
      <c r="AA242">
        <v>4.5776040849383133</v>
      </c>
      <c r="AB242">
        <v>5.1972586902283648</v>
      </c>
      <c r="AC242" s="129">
        <v>0.15028987662664106</v>
      </c>
      <c r="AD242" s="244" cm="1">
        <f t="array" ref="AD242">_xlfn.SWITCH(TRUE,
  $C242&lt;$Q$5,  $S$61*$C242+$T$61,
  $C242&lt;$Q$6,  $S$62*$C242+$T$62,
  $C242&lt;$Q$7,  $S$63*$C242+$T$63,
  $C242&lt;$Q$8, $S$64*$C242+$T$64,
  $C242&lt;$Q$9, $S$65*$C242+$T$65,
  $C242&lt;$Q$10, $S$66*$C242+$T$66,
  $C242&lt;$Q$11,  $S$67*$C242+$T$67,
  $C242&lt;$Q$12, $S$68*$C242+$T$68,
  $S$69*$C242+$T$69
)</f>
        <v>0.84963636363636375</v>
      </c>
      <c r="AE242" cm="1">
        <f t="array" ref="AE242">_xlfn.SWITCH(TRUE,
  $C242&lt;$Q$5,  $U$61*$C242+$V$61,
  $C242&lt;$Q$6,  $U$62*$C242+$V$62,
  $C242&lt;$Q$7,  $U$63*$C242+$V$63,
  $C242&lt;$Q$8, $U$64*$C242+$V$64,
  $C242&lt;$Q$9, $U$65*$C242+$V$65,
  $C242&lt;$Q$10, $U$66*$C242+$V$66,
  $C242&lt;$Q$11,  $U$67*$C242+$V$67,
  $C242&lt;$Q$12, $U$68*$C242+$V$68,
  $U$69*$C242+$V$69
)</f>
        <v>3.8</v>
      </c>
      <c r="AF242" cm="1">
        <f t="array" ref="AF242">_xlfn.LET(
  _xlpm.y,$C242,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2" cm="1">
        <f t="array" ref="AG242">_xlfn.LET(
  _xlpm.y,$C242,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2" cm="1">
        <f t="array" ref="AH242">_xlfn.LET(
  _xlpm.y,$C242,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2" cm="1">
        <f t="array" ref="AI242">_xlfn.LET(
  _xlpm.y,$C242,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2" cm="1">
        <f t="array" ref="AJ242">_xlfn.LET(
  _xlpm.y,$C242,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2">
        <f t="shared" si="20"/>
        <v>0</v>
      </c>
      <c r="AL242">
        <v>3.1537032283854369</v>
      </c>
      <c r="AM242">
        <v>4.2183891492154144</v>
      </c>
      <c r="AN242">
        <v>5.1973253292367882</v>
      </c>
      <c r="AO242">
        <v>0.14860737827949233</v>
      </c>
    </row>
    <row r="243" spans="2:41">
      <c r="B243">
        <f>'主翼(型紙出力)'!B86</f>
        <v>35</v>
      </c>
      <c r="C243">
        <f>INT(('主翼(型紙出力)'!C86)*1000)/1000</f>
        <v>5.35</v>
      </c>
      <c r="D243">
        <f>'主翼(型紙出力)'!E86</f>
        <v>0.15</v>
      </c>
      <c r="E243">
        <f>'主翼(重量推算)'!CE83</f>
        <v>1.7593087257637934</v>
      </c>
      <c r="F243" s="244" cm="1">
        <f t="array" ref="F243">_xlfn.SWITCH(TRUE,
  $C243&lt;$Q$5,  $S$22*$C243+$T$22,
  $C243&lt;$Q$6,  $S$23*$C243+$T$23,
  $C243&lt;$Q$7,  $S$24*$C243+$T$24,
  $C243&lt;$Q$8, $S$25*$C243+$T$25,
  $C243&lt;$Q$9, $S$26*$C243+$T$26,
  $C243&lt;$Q$10, $S$27*$C243+$T$27,
  $C243&lt;$Q$11,  $S$28*$C243+$T$28,
  $C243&lt;$Q$12, $S$29*$C243+$T$29,
  $S$30*$C243+$T$30
)</f>
        <v>0.94727272727272727</v>
      </c>
      <c r="G243" cm="1">
        <f t="array" ref="G243">_xlfn.SWITCH(TRUE,
  $C243&lt;$Q$5,  $U$22*$C243+$V$22,
  $C243&lt;$Q$6,  $U$23*$C243+$V$23,
  $C243&lt;$Q$7,  $U$24*$C243+$V$24,
  $C243&lt;$Q$8, $U$25*$C243+$V$25,
  $C243&lt;$Q$9, $U$26*$C243+$V$26,
  $C243&lt;$Q$10, $U$27*$C243+$V$27,
  $C243&lt;$Q$11,  $U$28*$C243+$V$28,
  $C243&lt;$Q$12, $U$29*$C243+$V$29,
  $U$30*$C243+$V$30
)</f>
        <v>3.4</v>
      </c>
      <c r="H243" cm="1">
        <f t="array" ref="H243">_xlfn.LET(
  _xlpm.y,$C243,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3" cm="1">
        <f t="array" ref="I243">_xlfn.LET(
  _xlpm.y,$C243,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3" cm="1">
        <f t="array" ref="J243">_xlfn.LET(
  _xlpm.y,$C243,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3" cm="1">
        <f t="array" ref="K243">_xlfn.LET(
  _xlpm.y,$C243,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3" cm="1">
        <f t="array" ref="L243">_xlfn.LET(
  _xlpm.y,$C243,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3" cm="1">
        <f t="array" ref="M243">_xlfn.SWITCH(TRUE,
  $C243&lt;$Q$5,  $D$22,
  $C243&lt;$Q$6,  $D$23,
  $C243&lt;$Q$7,  $D$24,
  $C243&lt;$Q$8,  $D$25,
  $C243&lt;$Q$9,  $D$26,
  $C243&lt;$Q$10,  $D$27,
  $C243&lt;$Q$11,  $D$28,
  $C243&lt;$Q$12,  $D$29,
  $C243&lt;$Q$13,  $D$30,
  $C243&lt;100,  $D$31,
)</f>
        <v>0</v>
      </c>
      <c r="N243">
        <v>3.675127426798507</v>
      </c>
      <c r="O243">
        <v>5.043925093504491</v>
      </c>
      <c r="P243">
        <v>5.346391621116144</v>
      </c>
      <c r="Q243" s="129">
        <v>0.17417520367472292</v>
      </c>
      <c r="R243" s="244" cm="1">
        <f t="array" ref="R243">_xlfn.SWITCH(TRUE,
  $C243&lt;$Q$5,  $S$41*$C243+$T$41,
  $C243&lt;$Q$6,  $S$42*$C243+$T$42,
  $C243&lt;$Q$7,  $S$43*$C243+$T$43,
  $C243&lt;$Q$8, $S$44*$C243+$T$44,
  $C243&lt;$Q$9, $S$45*$C243+$T$45,
  $C243&lt;$Q$10, $S$46*$C243+$T$46,
  $C243&lt;$Q$11,  $S$47*$C243+$T$47,
  $C243&lt;$Q$12, $S$48*$C243+$T$48,
  $S$49*$C243+$T$49
)</f>
        <v>0.83454545454545448</v>
      </c>
      <c r="S243" cm="1">
        <f t="array" ref="S243">_xlfn.SWITCH(TRUE,
  $C243&lt;$Q$5,  $U$41*$C243+$V$41,
  $C243&lt;$Q$6,  $U$42*$C243+$V$42,
  $C243&lt;$Q$7,  $U$43*$C243+$V$43,
  $C243&lt;$Q$8, $U$44*$C243+$V$44,
  $C243&lt;$Q$9, $U$45*$C243+$V$45,
  $C243&lt;$Q$10, $U$46*$C243+$V$46,
  $C243&lt;$Q$11,  $U$47*$C243+$V$47,
  $C243&lt;$Q$12, $U$48*$C243+$V$48,
  $U$49*$C243+$V$49
)</f>
        <v>3.8</v>
      </c>
      <c r="T243">
        <f t="shared" si="14"/>
        <v>0</v>
      </c>
      <c r="U243">
        <f t="shared" si="15"/>
        <v>1</v>
      </c>
      <c r="V243">
        <f t="shared" si="16"/>
        <v>0</v>
      </c>
      <c r="W243">
        <f t="shared" si="17"/>
        <v>0</v>
      </c>
      <c r="X243">
        <f t="shared" si="18"/>
        <v>0</v>
      </c>
      <c r="Y243">
        <f t="shared" si="19"/>
        <v>0</v>
      </c>
      <c r="Z243">
        <v>3.3027151637136072</v>
      </c>
      <c r="AA243">
        <v>4.5227397377809497</v>
      </c>
      <c r="AB243">
        <v>5.3470239844906304</v>
      </c>
      <c r="AC243" s="129">
        <v>0.15867776280475995</v>
      </c>
      <c r="AD243" s="244" cm="1">
        <f t="array" ref="AD243">_xlfn.SWITCH(TRUE,
  $C243&lt;$Q$5,  $S$61*$C243+$T$61,
  $C243&lt;$Q$6,  $S$62*$C243+$T$62,
  $C243&lt;$Q$7,  $S$63*$C243+$T$63,
  $C243&lt;$Q$8, $S$64*$C243+$T$64,
  $C243&lt;$Q$9, $S$65*$C243+$T$65,
  $C243&lt;$Q$10, $S$66*$C243+$T$66,
  $C243&lt;$Q$11,  $S$67*$C243+$T$67,
  $C243&lt;$Q$12, $S$68*$C243+$T$68,
  $S$69*$C243+$T$69
)</f>
        <v>0.84090909090909105</v>
      </c>
      <c r="AE243" cm="1">
        <f t="array" ref="AE243">_xlfn.SWITCH(TRUE,
  $C243&lt;$Q$5,  $U$61*$C243+$V$61,
  $C243&lt;$Q$6,  $U$62*$C243+$V$62,
  $C243&lt;$Q$7,  $U$63*$C243+$V$63,
  $C243&lt;$Q$8, $U$64*$C243+$V$64,
  $C243&lt;$Q$9, $U$65*$C243+$V$65,
  $C243&lt;$Q$10, $U$66*$C243+$V$66,
  $C243&lt;$Q$11,  $U$67*$C243+$V$67,
  $C243&lt;$Q$12, $U$68*$C243+$V$68,
  $U$69*$C243+$V$69
)</f>
        <v>3.8</v>
      </c>
      <c r="AF243" cm="1">
        <f t="array" ref="AF243">_xlfn.LET(
  _xlpm.y,$C243,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3" cm="1">
        <f t="array" ref="AG243">_xlfn.LET(
  _xlpm.y,$C243,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3" cm="1">
        <f t="array" ref="AH243">_xlfn.LET(
  _xlpm.y,$C243,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3" cm="1">
        <f t="array" ref="AI243">_xlfn.LET(
  _xlpm.y,$C243,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3" cm="1">
        <f t="array" ref="AJ243">_xlfn.LET(
  _xlpm.y,$C243,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3">
        <f t="shared" si="20"/>
        <v>0</v>
      </c>
      <c r="AL243">
        <v>3.2475632452723961</v>
      </c>
      <c r="AM243">
        <v>4.1705047854315902</v>
      </c>
      <c r="AN243">
        <v>5.3470981607979295</v>
      </c>
      <c r="AO243">
        <v>0.15685958563013339</v>
      </c>
    </row>
    <row r="244" spans="2:41">
      <c r="B244">
        <f>'主翼(型紙出力)'!B87</f>
        <v>36</v>
      </c>
      <c r="C244">
        <f>INT(('主翼(型紙出力)'!C87)*1000)/1000</f>
        <v>5.5</v>
      </c>
      <c r="D244">
        <f>'主翼(型紙出力)'!E87</f>
        <v>0.15</v>
      </c>
      <c r="E244">
        <f>'主翼(重量推算)'!CE84</f>
        <v>1.6940745442881653</v>
      </c>
      <c r="F244" s="244" cm="1">
        <f t="array" ref="F244">_xlfn.SWITCH(TRUE,
  $C244&lt;$Q$5,  $S$22*$C244+$T$22,
  $C244&lt;$Q$6,  $S$23*$C244+$T$23,
  $C244&lt;$Q$7,  $S$24*$C244+$T$24,
  $C244&lt;$Q$8, $S$25*$C244+$T$25,
  $C244&lt;$Q$9, $S$26*$C244+$T$26,
  $C244&lt;$Q$10, $S$27*$C244+$T$27,
  $C244&lt;$Q$11,  $S$28*$C244+$T$28,
  $C244&lt;$Q$12, $S$29*$C244+$T$29,
  $S$30*$C244+$T$30
)</f>
        <v>0.93745454545454532</v>
      </c>
      <c r="G244" cm="1">
        <f t="array" ref="G244">_xlfn.SWITCH(TRUE,
  $C244&lt;$Q$5,  $U$22*$C244+$V$22,
  $C244&lt;$Q$6,  $U$23*$C244+$V$23,
  $C244&lt;$Q$7,  $U$24*$C244+$V$24,
  $C244&lt;$Q$8, $U$25*$C244+$V$25,
  $C244&lt;$Q$9, $U$26*$C244+$V$26,
  $C244&lt;$Q$10, $U$27*$C244+$V$27,
  $C244&lt;$Q$11,  $U$28*$C244+$V$28,
  $C244&lt;$Q$12, $U$29*$C244+$V$29,
  $U$30*$C244+$V$30
)</f>
        <v>3.4</v>
      </c>
      <c r="H244" cm="1">
        <f t="array" ref="H244">_xlfn.LET(
  _xlpm.y,$C244,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4" cm="1">
        <f t="array" ref="I244">_xlfn.LET(
  _xlpm.y,$C244,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4" cm="1">
        <f t="array" ref="J244">_xlfn.LET(
  _xlpm.y,$C244,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4" cm="1">
        <f t="array" ref="K244">_xlfn.LET(
  _xlpm.y,$C244,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4" cm="1">
        <f t="array" ref="L244">_xlfn.LET(
  _xlpm.y,$C244,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4" cm="1">
        <f t="array" ref="M244">_xlfn.SWITCH(TRUE,
  $C244&lt;$Q$5,  $D$22,
  $C244&lt;$Q$6,  $D$23,
  $C244&lt;$Q$7,  $D$24,
  $C244&lt;$Q$8,  $D$25,
  $C244&lt;$Q$9,  $D$26,
  $C244&lt;$Q$10,  $D$27,
  $C244&lt;$Q$11,  $D$28,
  $C244&lt;$Q$12,  $D$29,
  $C244&lt;$Q$13,  $D$30,
  $C244&lt;100,  $D$31,
)</f>
        <v>0</v>
      </c>
      <c r="N244">
        <v>3.7866639864413099</v>
      </c>
      <c r="O244">
        <v>4.9925803860793092</v>
      </c>
      <c r="P244">
        <v>5.4960831518541022</v>
      </c>
      <c r="Q244" s="129">
        <v>0.18379006848536253</v>
      </c>
      <c r="R244" s="244" cm="1">
        <f t="array" ref="R244">_xlfn.SWITCH(TRUE,
  $C244&lt;$Q$5,  $S$41*$C244+$T$41,
  $C244&lt;$Q$6,  $S$42*$C244+$T$42,
  $C244&lt;$Q$7,  $S$43*$C244+$T$43,
  $C244&lt;$Q$8, $S$44*$C244+$T$44,
  $C244&lt;$Q$9, $S$45*$C244+$T$45,
  $C244&lt;$Q$10, $S$46*$C244+$T$46,
  $C244&lt;$Q$11,  $S$47*$C244+$T$47,
  $C244&lt;$Q$12, $S$48*$C244+$T$48,
  $S$49*$C244+$T$49
)</f>
        <v>0.82690909090909082</v>
      </c>
      <c r="S244" cm="1">
        <f t="array" ref="S244">_xlfn.SWITCH(TRUE,
  $C244&lt;$Q$5,  $U$41*$C244+$V$41,
  $C244&lt;$Q$6,  $U$42*$C244+$V$42,
  $C244&lt;$Q$7,  $U$43*$C244+$V$43,
  $C244&lt;$Q$8, $U$44*$C244+$V$44,
  $C244&lt;$Q$9, $U$45*$C244+$V$45,
  $C244&lt;$Q$10, $U$46*$C244+$V$46,
  $C244&lt;$Q$11,  $U$47*$C244+$V$47,
  $C244&lt;$Q$12, $U$48*$C244+$V$48,
  $U$49*$C244+$V$49
)</f>
        <v>3.8</v>
      </c>
      <c r="T244">
        <f t="shared" si="14"/>
        <v>0</v>
      </c>
      <c r="U244">
        <f t="shared" si="15"/>
        <v>1</v>
      </c>
      <c r="V244">
        <f t="shared" si="16"/>
        <v>0</v>
      </c>
      <c r="W244">
        <f t="shared" si="17"/>
        <v>0</v>
      </c>
      <c r="X244">
        <f t="shared" si="18"/>
        <v>0</v>
      </c>
      <c r="Y244">
        <f t="shared" si="19"/>
        <v>0</v>
      </c>
      <c r="Z244">
        <v>3.3989891299184336</v>
      </c>
      <c r="AA244">
        <v>4.4671818966179284</v>
      </c>
      <c r="AB244">
        <v>5.4967748476332527</v>
      </c>
      <c r="AC244" s="129">
        <v>0.16731946333414202</v>
      </c>
      <c r="AD244" s="244" cm="1">
        <f t="array" ref="AD244">_xlfn.SWITCH(TRUE,
  $C244&lt;$Q$5,  $S$61*$C244+$T$61,
  $C244&lt;$Q$6,  $S$62*$C244+$T$62,
  $C244&lt;$Q$7,  $S$63*$C244+$T$63,
  $C244&lt;$Q$8, $S$64*$C244+$T$64,
  $C244&lt;$Q$9, $S$65*$C244+$T$65,
  $C244&lt;$Q$10, $S$66*$C244+$T$66,
  $C244&lt;$Q$11,  $S$67*$C244+$T$67,
  $C244&lt;$Q$12, $S$68*$C244+$T$68,
  $S$69*$C244+$T$69
)</f>
        <v>0.83218181818181836</v>
      </c>
      <c r="AE244" cm="1">
        <f t="array" ref="AE244">_xlfn.SWITCH(TRUE,
  $C244&lt;$Q$5,  $U$61*$C244+$V$61,
  $C244&lt;$Q$6,  $U$62*$C244+$V$62,
  $C244&lt;$Q$7,  $U$63*$C244+$V$63,
  $C244&lt;$Q$8, $U$64*$C244+$V$64,
  $C244&lt;$Q$9, $U$65*$C244+$V$65,
  $C244&lt;$Q$10, $U$66*$C244+$V$66,
  $C244&lt;$Q$11,  $U$67*$C244+$V$67,
  $C244&lt;$Q$12, $U$68*$C244+$V$68,
  $U$69*$C244+$V$69
)</f>
        <v>3.8</v>
      </c>
      <c r="AF244" cm="1">
        <f t="array" ref="AF244">_xlfn.LET(
  _xlpm.y,$C244,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4" cm="1">
        <f t="array" ref="AG244">_xlfn.LET(
  _xlpm.y,$C244,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4" cm="1">
        <f t="array" ref="AH244">_xlfn.LET(
  _xlpm.y,$C244,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4" cm="1">
        <f t="array" ref="AI244">_xlfn.LET(
  _xlpm.y,$C244,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4" cm="1">
        <f t="array" ref="AJ244">_xlfn.LET(
  _xlpm.y,$C244,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4">
        <f t="shared" si="20"/>
        <v>0</v>
      </c>
      <c r="AL244">
        <v>3.3404890250528494</v>
      </c>
      <c r="AM244">
        <v>4.1223073108434614</v>
      </c>
      <c r="AN244">
        <v>5.4968572729125702</v>
      </c>
      <c r="AO244">
        <v>0.16535713460818344</v>
      </c>
    </row>
    <row r="245" spans="2:41">
      <c r="B245">
        <f>'主翼(型紙出力)'!B88</f>
        <v>37</v>
      </c>
      <c r="C245">
        <f>INT(('主翼(型紙出力)'!C88)*1000)/1000</f>
        <v>5.65</v>
      </c>
      <c r="D245">
        <f>'主翼(型紙出力)'!E88</f>
        <v>0.15</v>
      </c>
      <c r="E245">
        <f>'主翼(重量推算)'!CE85</f>
        <v>1.7137881098364975</v>
      </c>
      <c r="F245" s="244" cm="1">
        <f t="array" ref="F245">_xlfn.SWITCH(TRUE,
  $C245&lt;$Q$5,  $S$22*$C245+$T$22,
  $C245&lt;$Q$6,  $S$23*$C245+$T$23,
  $C245&lt;$Q$7,  $S$24*$C245+$T$24,
  $C245&lt;$Q$8, $S$25*$C245+$T$25,
  $C245&lt;$Q$9, $S$26*$C245+$T$26,
  $C245&lt;$Q$10, $S$27*$C245+$T$27,
  $C245&lt;$Q$11,  $S$28*$C245+$T$28,
  $C245&lt;$Q$12, $S$29*$C245+$T$29,
  $S$30*$C245+$T$30
)</f>
        <v>0.92763636363636359</v>
      </c>
      <c r="G245" cm="1">
        <f t="array" ref="G245">_xlfn.SWITCH(TRUE,
  $C245&lt;$Q$5,  $U$22*$C245+$V$22,
  $C245&lt;$Q$6,  $U$23*$C245+$V$23,
  $C245&lt;$Q$7,  $U$24*$C245+$V$24,
  $C245&lt;$Q$8, $U$25*$C245+$V$25,
  $C245&lt;$Q$9, $U$26*$C245+$V$26,
  $C245&lt;$Q$10, $U$27*$C245+$V$27,
  $C245&lt;$Q$11,  $U$28*$C245+$V$28,
  $C245&lt;$Q$12, $U$29*$C245+$V$29,
  $U$30*$C245+$V$30
)</f>
        <v>3.4</v>
      </c>
      <c r="H245" cm="1">
        <f t="array" ref="H245">_xlfn.LET(
  _xlpm.y,$C245,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5" cm="1">
        <f t="array" ref="I245">_xlfn.LET(
  _xlpm.y,$C245,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5" cm="1">
        <f t="array" ref="J245">_xlfn.LET(
  _xlpm.y,$C245,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5" cm="1">
        <f t="array" ref="K245">_xlfn.LET(
  _xlpm.y,$C245,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5" cm="1">
        <f t="array" ref="L245">_xlfn.LET(
  _xlpm.y,$C245,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5" cm="1">
        <f t="array" ref="M245">_xlfn.SWITCH(TRUE,
  $C245&lt;$Q$5,  $D$22,
  $C245&lt;$Q$6,  $D$23,
  $C245&lt;$Q$7,  $D$24,
  $C245&lt;$Q$8,  $D$25,
  $C245&lt;$Q$9,  $D$26,
  $C245&lt;$Q$10,  $D$27,
  $C245&lt;$Q$11,  $D$28,
  $C245&lt;$Q$12,  $D$29,
  $C245&lt;$Q$13,  $D$30,
  $C245&lt;100,  $D$31,
)</f>
        <v>0</v>
      </c>
      <c r="N245">
        <v>3.8975000946448652</v>
      </c>
      <c r="O245">
        <v>4.9399146219426937</v>
      </c>
      <c r="P245">
        <v>5.6457556819041947</v>
      </c>
      <c r="Q245" s="129">
        <v>0.19369631643320034</v>
      </c>
      <c r="R245" s="244" cm="1">
        <f t="array" ref="R245">_xlfn.SWITCH(TRUE,
  $C245&lt;$Q$5,  $S$41*$C245+$T$41,
  $C245&lt;$Q$6,  $S$42*$C245+$T$42,
  $C245&lt;$Q$7,  $S$43*$C245+$T$43,
  $C245&lt;$Q$8, $S$44*$C245+$T$44,
  $C245&lt;$Q$9, $S$45*$C245+$T$45,
  $C245&lt;$Q$10, $S$46*$C245+$T$46,
  $C245&lt;$Q$11,  $S$47*$C245+$T$47,
  $C245&lt;$Q$12, $S$48*$C245+$T$48,
  $S$49*$C245+$T$49
)</f>
        <v>0.81927272727272715</v>
      </c>
      <c r="S245" cm="1">
        <f t="array" ref="S245">_xlfn.SWITCH(TRUE,
  $C245&lt;$Q$5,  $U$41*$C245+$V$41,
  $C245&lt;$Q$6,  $U$42*$C245+$V$42,
  $C245&lt;$Q$7,  $U$43*$C245+$V$43,
  $C245&lt;$Q$8, $U$44*$C245+$V$44,
  $C245&lt;$Q$9, $U$45*$C245+$V$45,
  $C245&lt;$Q$10, $U$46*$C245+$V$46,
  $C245&lt;$Q$11,  $U$47*$C245+$V$47,
  $C245&lt;$Q$12, $U$48*$C245+$V$48,
  $U$49*$C245+$V$49
)</f>
        <v>3.8</v>
      </c>
      <c r="T245">
        <f t="shared" si="14"/>
        <v>0</v>
      </c>
      <c r="U245">
        <f t="shared" si="15"/>
        <v>1</v>
      </c>
      <c r="V245">
        <f t="shared" si="16"/>
        <v>0</v>
      </c>
      <c r="W245">
        <f t="shared" si="17"/>
        <v>0</v>
      </c>
      <c r="X245">
        <f t="shared" si="18"/>
        <v>0</v>
      </c>
      <c r="Y245">
        <f t="shared" si="19"/>
        <v>0</v>
      </c>
      <c r="Z245">
        <v>3.4944020617688585</v>
      </c>
      <c r="AA245">
        <v>4.4109539818309909</v>
      </c>
      <c r="AB245">
        <v>5.6465109787499657</v>
      </c>
      <c r="AC245" s="129">
        <v>0.17621277757567722</v>
      </c>
      <c r="AD245" s="244" cm="1">
        <f t="array" ref="AD245">_xlfn.SWITCH(TRUE,
  $C245&lt;$Q$5,  $S$61*$C245+$T$61,
  $C245&lt;$Q$6,  $S$62*$C245+$T$62,
  $C245&lt;$Q$7,  $S$63*$C245+$T$63,
  $C245&lt;$Q$8, $S$64*$C245+$T$64,
  $C245&lt;$Q$9, $S$65*$C245+$T$65,
  $C245&lt;$Q$10, $S$66*$C245+$T$66,
  $C245&lt;$Q$11,  $S$67*$C245+$T$67,
  $C245&lt;$Q$12, $S$68*$C245+$T$68,
  $S$69*$C245+$T$69
)</f>
        <v>0.82345454545454555</v>
      </c>
      <c r="AE245" cm="1">
        <f t="array" ref="AE245">_xlfn.SWITCH(TRUE,
  $C245&lt;$Q$5,  $U$61*$C245+$V$61,
  $C245&lt;$Q$6,  $U$62*$C245+$V$62,
  $C245&lt;$Q$7,  $U$63*$C245+$V$63,
  $C245&lt;$Q$8, $U$64*$C245+$V$64,
  $C245&lt;$Q$9, $U$65*$C245+$V$65,
  $C245&lt;$Q$10, $U$66*$C245+$V$66,
  $C245&lt;$Q$11,  $U$67*$C245+$V$67,
  $C245&lt;$Q$12, $U$68*$C245+$V$68,
  $U$69*$C245+$V$69
)</f>
        <v>3.8</v>
      </c>
      <c r="AF245" cm="1">
        <f t="array" ref="AF245">_xlfn.LET(
  _xlpm.y,$C245,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5" cm="1">
        <f t="array" ref="AG245">_xlfn.LET(
  _xlpm.y,$C245,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5" cm="1">
        <f t="array" ref="AH245">_xlfn.LET(
  _xlpm.y,$C245,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5" cm="1">
        <f t="array" ref="AI245">_xlfn.LET(
  _xlpm.y,$C245,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5" cm="1">
        <f t="array" ref="AJ245">_xlfn.LET(
  _xlpm.y,$C245,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5">
        <f t="shared" si="20"/>
        <v>0</v>
      </c>
      <c r="AL245">
        <v>3.4324493106732228</v>
      </c>
      <c r="AM245">
        <v>4.0737601540375232</v>
      </c>
      <c r="AN245">
        <v>5.6466024062259486</v>
      </c>
      <c r="AO245">
        <v>0.17409756073958801</v>
      </c>
    </row>
    <row r="246" spans="2:41">
      <c r="B246">
        <f>'主翼(型紙出力)'!B89</f>
        <v>38</v>
      </c>
      <c r="C246">
        <f>INT(('主翼(型紙出力)'!C89)*1000)/1000</f>
        <v>5.8</v>
      </c>
      <c r="D246">
        <f>'主翼(型紙出力)'!E89</f>
        <v>0.15</v>
      </c>
      <c r="E246">
        <f>'主翼(重量推算)'!CE86</f>
        <v>1.6502877283081792</v>
      </c>
      <c r="F246" s="244" cm="1">
        <f t="array" ref="F246">_xlfn.SWITCH(TRUE,
  $C246&lt;$Q$5,  $S$22*$C246+$T$22,
  $C246&lt;$Q$6,  $S$23*$C246+$T$23,
  $C246&lt;$Q$7,  $S$24*$C246+$T$24,
  $C246&lt;$Q$8, $S$25*$C246+$T$25,
  $C246&lt;$Q$9, $S$26*$C246+$T$26,
  $C246&lt;$Q$10, $S$27*$C246+$T$27,
  $C246&lt;$Q$11,  $S$28*$C246+$T$28,
  $C246&lt;$Q$12, $S$29*$C246+$T$29,
  $S$30*$C246+$T$30
)</f>
        <v>0.91781818181818176</v>
      </c>
      <c r="G246" cm="1">
        <f t="array" ref="G246">_xlfn.SWITCH(TRUE,
  $C246&lt;$Q$5,  $U$22*$C246+$V$22,
  $C246&lt;$Q$6,  $U$23*$C246+$V$23,
  $C246&lt;$Q$7,  $U$24*$C246+$V$24,
  $C246&lt;$Q$8, $U$25*$C246+$V$25,
  $C246&lt;$Q$9, $U$26*$C246+$V$26,
  $C246&lt;$Q$10, $U$27*$C246+$V$27,
  $C246&lt;$Q$11,  $U$28*$C246+$V$28,
  $C246&lt;$Q$12, $U$29*$C246+$V$29,
  $U$30*$C246+$V$30
)</f>
        <v>3.4</v>
      </c>
      <c r="H246" cm="1">
        <f t="array" ref="H246">_xlfn.LET(
  _xlpm.y,$C246,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6" cm="1">
        <f t="array" ref="I246">_xlfn.LET(
  _xlpm.y,$C246,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6" cm="1">
        <f t="array" ref="J246">_xlfn.LET(
  _xlpm.y,$C246,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6" cm="1">
        <f t="array" ref="K246">_xlfn.LET(
  _xlpm.y,$C246,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6" cm="1">
        <f t="array" ref="L246">_xlfn.LET(
  _xlpm.y,$C246,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6" cm="1">
        <f t="array" ref="M246">_xlfn.SWITCH(TRUE,
  $C246&lt;$Q$5,  $D$22,
  $C246&lt;$Q$6,  $D$23,
  $C246&lt;$Q$7,  $D$24,
  $C246&lt;$Q$8,  $D$25,
  $C246&lt;$Q$9,  $D$26,
  $C246&lt;$Q$10,  $D$27,
  $C246&lt;$Q$11,  $D$28,
  $C246&lt;$Q$12,  $D$29,
  $C246&lt;$Q$13,  $D$30,
  $C246&lt;100,  $D$31,
)</f>
        <v>0</v>
      </c>
      <c r="N246">
        <v>4.0076061103971092</v>
      </c>
      <c r="O246">
        <v>4.8860317136729954</v>
      </c>
      <c r="P246">
        <v>5.7954087687292715</v>
      </c>
      <c r="Q246" s="129">
        <v>0.20389208044214902</v>
      </c>
      <c r="R246" s="244" cm="1">
        <f t="array" ref="R246">_xlfn.SWITCH(TRUE,
  $C246&lt;$Q$5,  $S$41*$C246+$T$41,
  $C246&lt;$Q$6,  $S$42*$C246+$T$42,
  $C246&lt;$Q$7,  $S$43*$C246+$T$43,
  $C246&lt;$Q$8, $S$44*$C246+$T$44,
  $C246&lt;$Q$9, $S$45*$C246+$T$45,
  $C246&lt;$Q$10, $S$46*$C246+$T$46,
  $C246&lt;$Q$11,  $S$47*$C246+$T$47,
  $C246&lt;$Q$12, $S$48*$C246+$T$48,
  $S$49*$C246+$T$49
)</f>
        <v>0.81163636363636349</v>
      </c>
      <c r="S246" cm="1">
        <f t="array" ref="S246">_xlfn.SWITCH(TRUE,
  $C246&lt;$Q$5,  $U$41*$C246+$V$41,
  $C246&lt;$Q$6,  $U$42*$C246+$V$42,
  $C246&lt;$Q$7,  $U$43*$C246+$V$43,
  $C246&lt;$Q$8, $U$44*$C246+$V$44,
  $C246&lt;$Q$9, $U$45*$C246+$V$45,
  $C246&lt;$Q$10, $U$46*$C246+$V$46,
  $C246&lt;$Q$11,  $U$47*$C246+$V$47,
  $C246&lt;$Q$12, $U$48*$C246+$V$48,
  $U$49*$C246+$V$49
)</f>
        <v>3.8</v>
      </c>
      <c r="T246">
        <f t="shared" si="14"/>
        <v>0</v>
      </c>
      <c r="U246">
        <f t="shared" si="15"/>
        <v>1</v>
      </c>
      <c r="V246">
        <f t="shared" si="16"/>
        <v>0</v>
      </c>
      <c r="W246">
        <f t="shared" si="17"/>
        <v>0</v>
      </c>
      <c r="X246">
        <f t="shared" si="18"/>
        <v>0</v>
      </c>
      <c r="Y246">
        <f t="shared" si="19"/>
        <v>0</v>
      </c>
      <c r="Z246">
        <v>3.5889255546775591</v>
      </c>
      <c r="AA246">
        <v>4.3540761562057879</v>
      </c>
      <c r="AB246">
        <v>5.7962320924874611</v>
      </c>
      <c r="AC246" s="129">
        <v>0.18535543042941943</v>
      </c>
      <c r="AD246" s="244" cm="1">
        <f t="array" ref="AD246">_xlfn.SWITCH(TRUE,
  $C246&lt;$Q$5,  $S$61*$C246+$T$61,
  $C246&lt;$Q$6,  $S$62*$C246+$T$62,
  $C246&lt;$Q$7,  $S$63*$C246+$T$63,
  $C246&lt;$Q$8, $S$64*$C246+$T$64,
  $C246&lt;$Q$9, $S$65*$C246+$T$65,
  $C246&lt;$Q$10, $S$66*$C246+$T$66,
  $C246&lt;$Q$11,  $S$67*$C246+$T$67,
  $C246&lt;$Q$12, $S$68*$C246+$T$68,
  $S$69*$C246+$T$69
)</f>
        <v>0.81472727272727286</v>
      </c>
      <c r="AE246" cm="1">
        <f t="array" ref="AE246">_xlfn.SWITCH(TRUE,
  $C246&lt;$Q$5,  $U$61*$C246+$V$61,
  $C246&lt;$Q$6,  $U$62*$C246+$V$62,
  $C246&lt;$Q$7,  $U$63*$C246+$V$63,
  $C246&lt;$Q$8, $U$64*$C246+$V$64,
  $C246&lt;$Q$9, $U$65*$C246+$V$65,
  $C246&lt;$Q$10, $U$66*$C246+$V$66,
  $C246&lt;$Q$11,  $U$67*$C246+$V$67,
  $C246&lt;$Q$12, $U$68*$C246+$V$68,
  $U$69*$C246+$V$69
)</f>
        <v>3.8</v>
      </c>
      <c r="AF246" cm="1">
        <f t="array" ref="AF246">_xlfn.LET(
  _xlpm.y,$C246,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6" cm="1">
        <f t="array" ref="AG246">_xlfn.LET(
  _xlpm.y,$C246,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6" cm="1">
        <f t="array" ref="AH246">_xlfn.LET(
  _xlpm.y,$C246,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6" cm="1">
        <f t="array" ref="AI246">_xlfn.LET(
  _xlpm.y,$C246,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6" cm="1">
        <f t="array" ref="AJ246">_xlfn.LET(
  _xlpm.y,$C246,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6">
        <f t="shared" si="20"/>
        <v>0</v>
      </c>
      <c r="AL246">
        <v>3.5234124030501004</v>
      </c>
      <c r="AM246">
        <v>4.0248208009312245</v>
      </c>
      <c r="AN246">
        <v>5.7963333182001486</v>
      </c>
      <c r="AO246">
        <v>0.18307831791114229</v>
      </c>
    </row>
    <row r="247" spans="2:41">
      <c r="B247">
        <f>'主翼(型紙出力)'!B90</f>
        <v>39</v>
      </c>
      <c r="C247">
        <f>INT(('主翼(型紙出力)'!C90)*1000)/1000</f>
        <v>5.95</v>
      </c>
      <c r="D247">
        <f>'主翼(型紙出力)'!E90</f>
        <v>0.15</v>
      </c>
      <c r="E247">
        <f>'主翼(重量推算)'!CE87</f>
        <v>1.668412095931648</v>
      </c>
      <c r="F247" s="244" cm="1">
        <f t="array" ref="F247">_xlfn.SWITCH(TRUE,
  $C247&lt;$Q$5,  $S$22*$C247+$T$22,
  $C247&lt;$Q$6,  $S$23*$C247+$T$23,
  $C247&lt;$Q$7,  $S$24*$C247+$T$24,
  $C247&lt;$Q$8, $S$25*$C247+$T$25,
  $C247&lt;$Q$9, $S$26*$C247+$T$26,
  $C247&lt;$Q$10, $S$27*$C247+$T$27,
  $C247&lt;$Q$11,  $S$28*$C247+$T$28,
  $C247&lt;$Q$12, $S$29*$C247+$T$29,
  $S$30*$C247+$T$30
)</f>
        <v>0.90799999999999992</v>
      </c>
      <c r="G247" cm="1">
        <f t="array" ref="G247">_xlfn.SWITCH(TRUE,
  $C247&lt;$Q$5,  $U$22*$C247+$V$22,
  $C247&lt;$Q$6,  $U$23*$C247+$V$23,
  $C247&lt;$Q$7,  $U$24*$C247+$V$24,
  $C247&lt;$Q$8, $U$25*$C247+$V$25,
  $C247&lt;$Q$9, $U$26*$C247+$V$26,
  $C247&lt;$Q$10, $U$27*$C247+$V$27,
  $C247&lt;$Q$11,  $U$28*$C247+$V$28,
  $C247&lt;$Q$12, $U$29*$C247+$V$29,
  $U$30*$C247+$V$30
)</f>
        <v>3.4</v>
      </c>
      <c r="H247" cm="1">
        <f t="array" ref="H247">_xlfn.LET(
  _xlpm.y,$C247,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7" cm="1">
        <f t="array" ref="I247">_xlfn.LET(
  _xlpm.y,$C247,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7" cm="1">
        <f t="array" ref="J247">_xlfn.LET(
  _xlpm.y,$C247,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7" cm="1">
        <f t="array" ref="K247">_xlfn.LET(
  _xlpm.y,$C247,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7" cm="1">
        <f t="array" ref="L247">_xlfn.LET(
  _xlpm.y,$C247,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7" cm="1">
        <f t="array" ref="M247">_xlfn.SWITCH(TRUE,
  $C247&lt;$Q$5,  $D$22,
  $C247&lt;$Q$6,  $D$23,
  $C247&lt;$Q$7,  $D$24,
  $C247&lt;$Q$8,  $D$25,
  $C247&lt;$Q$9,  $D$26,
  $C247&lt;$Q$10,  $D$27,
  $C247&lt;$Q$11,  $D$28,
  $C247&lt;$Q$12,  $D$29,
  $C247&lt;$Q$13,  $D$30,
  $C247&lt;100,  $D$31,
)</f>
        <v>0</v>
      </c>
      <c r="N247">
        <v>4.1169518084286469</v>
      </c>
      <c r="O247">
        <v>4.8310354658159858</v>
      </c>
      <c r="P247">
        <v>5.9450419859064887</v>
      </c>
      <c r="Q247" s="129">
        <v>0.21437541565550622</v>
      </c>
      <c r="R247" s="244" cm="1">
        <f t="array" ref="R247">_xlfn.SWITCH(TRUE,
  $C247&lt;$Q$5,  $S$41*$C247+$T$41,
  $C247&lt;$Q$6,  $S$42*$C247+$T$42,
  $C247&lt;$Q$7,  $S$43*$C247+$T$43,
  $C247&lt;$Q$8, $S$44*$C247+$T$44,
  $C247&lt;$Q$9, $S$45*$C247+$T$45,
  $C247&lt;$Q$10, $S$46*$C247+$T$46,
  $C247&lt;$Q$11,  $S$47*$C247+$T$47,
  $C247&lt;$Q$12, $S$48*$C247+$T$48,
  $S$49*$C247+$T$49
)</f>
        <v>0.80399999999999983</v>
      </c>
      <c r="S247" cm="1">
        <f t="array" ref="S247">_xlfn.SWITCH(TRUE,
  $C247&lt;$Q$5,  $U$41*$C247+$V$41,
  $C247&lt;$Q$6,  $U$42*$C247+$V$42,
  $C247&lt;$Q$7,  $U$43*$C247+$V$43,
  $C247&lt;$Q$8, $U$44*$C247+$V$44,
  $C247&lt;$Q$9, $U$45*$C247+$V$45,
  $C247&lt;$Q$10, $U$46*$C247+$V$46,
  $C247&lt;$Q$11,  $U$47*$C247+$V$47,
  $C247&lt;$Q$12, $U$48*$C247+$V$48,
  $U$49*$C247+$V$49
)</f>
        <v>3.8</v>
      </c>
      <c r="T247">
        <f t="shared" si="14"/>
        <v>0</v>
      </c>
      <c r="U247">
        <f t="shared" si="15"/>
        <v>1</v>
      </c>
      <c r="V247">
        <f t="shared" si="16"/>
        <v>0</v>
      </c>
      <c r="W247">
        <f t="shared" si="17"/>
        <v>0</v>
      </c>
      <c r="X247">
        <f t="shared" si="18"/>
        <v>0</v>
      </c>
      <c r="Y247">
        <f t="shared" si="19"/>
        <v>0</v>
      </c>
      <c r="Z247">
        <v>3.6825314097184445</v>
      </c>
      <c r="AA247">
        <v>4.2965653659603005</v>
      </c>
      <c r="AB247">
        <v>5.9459379194301336</v>
      </c>
      <c r="AC247" s="129">
        <v>0.19474507256373191</v>
      </c>
      <c r="AD247" s="244" cm="1">
        <f t="array" ref="AD247">_xlfn.SWITCH(TRUE,
  $C247&lt;$Q$5,  $S$61*$C247+$T$61,
  $C247&lt;$Q$6,  $S$62*$C247+$T$62,
  $C247&lt;$Q$7,  $S$63*$C247+$T$63,
  $C247&lt;$Q$8, $S$64*$C247+$T$64,
  $C247&lt;$Q$9, $S$65*$C247+$T$65,
  $C247&lt;$Q$10, $S$66*$C247+$T$66,
  $C247&lt;$Q$11,  $S$67*$C247+$T$67,
  $C247&lt;$Q$12, $S$68*$C247+$T$68,
  $S$69*$C247+$T$69
)</f>
        <v>0.80600000000000005</v>
      </c>
      <c r="AE247" cm="1">
        <f t="array" ref="AE247">_xlfn.SWITCH(TRUE,
  $C247&lt;$Q$5,  $U$61*$C247+$V$61,
  $C247&lt;$Q$6,  $U$62*$C247+$V$62,
  $C247&lt;$Q$7,  $U$63*$C247+$V$63,
  $C247&lt;$Q$8, $U$64*$C247+$V$64,
  $C247&lt;$Q$9, $U$65*$C247+$V$65,
  $C247&lt;$Q$10, $U$66*$C247+$V$66,
  $C247&lt;$Q$11,  $U$67*$C247+$V$67,
  $C247&lt;$Q$12, $U$68*$C247+$V$68,
  $U$69*$C247+$V$69
)</f>
        <v>3.8</v>
      </c>
      <c r="AF247" cm="1">
        <f t="array" ref="AF247">_xlfn.LET(
  _xlpm.y,$C247,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7" cm="1">
        <f t="array" ref="AG247">_xlfn.LET(
  _xlpm.y,$C247,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7" cm="1">
        <f t="array" ref="AH247">_xlfn.LET(
  _xlpm.y,$C247,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7" cm="1">
        <f t="array" ref="AI247">_xlfn.LET(
  _xlpm.y,$C247,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7" cm="1">
        <f t="array" ref="AJ247">_xlfn.LET(
  _xlpm.y,$C247,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7">
        <f t="shared" si="20"/>
        <v>0</v>
      </c>
      <c r="AL247">
        <v>3.6133462210326628</v>
      </c>
      <c r="AM247">
        <v>3.9754413845224303</v>
      </c>
      <c r="AN247">
        <v>5.9460497835835442</v>
      </c>
      <c r="AO247">
        <v>0.19229677727822747</v>
      </c>
    </row>
    <row r="248" spans="2:41">
      <c r="B248">
        <f>'主翼(型紙出力)'!B91</f>
        <v>40</v>
      </c>
      <c r="C248">
        <f>INT(('主翼(型紙出力)'!C91)*1000)/1000</f>
        <v>6.1</v>
      </c>
      <c r="D248">
        <f>'主翼(型紙出力)'!E91</f>
        <v>0.15</v>
      </c>
      <c r="E248">
        <f>'主翼(重量推算)'!CE88</f>
        <v>1.606612350982102</v>
      </c>
      <c r="F248" s="244" cm="1">
        <f t="array" ref="F248">_xlfn.SWITCH(TRUE,
  $C248&lt;$Q$5,  $S$22*$C248+$T$22,
  $C248&lt;$Q$6,  $S$23*$C248+$T$23,
  $C248&lt;$Q$7,  $S$24*$C248+$T$24,
  $C248&lt;$Q$8, $S$25*$C248+$T$25,
  $C248&lt;$Q$9, $S$26*$C248+$T$26,
  $C248&lt;$Q$10, $S$27*$C248+$T$27,
  $C248&lt;$Q$11,  $S$28*$C248+$T$28,
  $C248&lt;$Q$12, $S$29*$C248+$T$29,
  $S$30*$C248+$T$30
)</f>
        <v>0.89818181818181819</v>
      </c>
      <c r="G248" cm="1">
        <f t="array" ref="G248">_xlfn.SWITCH(TRUE,
  $C248&lt;$Q$5,  $U$22*$C248+$V$22,
  $C248&lt;$Q$6,  $U$23*$C248+$V$23,
  $C248&lt;$Q$7,  $U$24*$C248+$V$24,
  $C248&lt;$Q$8, $U$25*$C248+$V$25,
  $C248&lt;$Q$9, $U$26*$C248+$V$26,
  $C248&lt;$Q$10, $U$27*$C248+$V$27,
  $C248&lt;$Q$11,  $U$28*$C248+$V$28,
  $C248&lt;$Q$12, $U$29*$C248+$V$29,
  $U$30*$C248+$V$30
)</f>
        <v>3.4</v>
      </c>
      <c r="H248" cm="1">
        <f t="array" ref="H248">_xlfn.LET(
  _xlpm.y,$C248,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8" cm="1">
        <f t="array" ref="I248">_xlfn.LET(
  _xlpm.y,$C248,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8" cm="1">
        <f t="array" ref="J248">_xlfn.LET(
  _xlpm.y,$C248,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8" cm="1">
        <f t="array" ref="K248">_xlfn.LET(
  _xlpm.y,$C248,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8" cm="1">
        <f t="array" ref="L248">_xlfn.LET(
  _xlpm.y,$C248,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8" cm="1">
        <f t="array" ref="M248">_xlfn.SWITCH(TRUE,
  $C248&lt;$Q$5,  $D$22,
  $C248&lt;$Q$6,  $D$23,
  $C248&lt;$Q$7,  $D$24,
  $C248&lt;$Q$8,  $D$25,
  $C248&lt;$Q$9,  $D$26,
  $C248&lt;$Q$10,  $D$27,
  $C248&lt;$Q$11,  $D$28,
  $C248&lt;$Q$12,  $D$29,
  $C248&lt;$Q$13,  $D$30,
  $C248&lt;100,  $D$31,
)</f>
        <v>0</v>
      </c>
      <c r="N248">
        <v>4.2255064588191509</v>
      </c>
      <c r="O248">
        <v>4.7750285553372382</v>
      </c>
      <c r="P248">
        <v>6.0946549237604524</v>
      </c>
      <c r="Q248" s="129">
        <v>0.22514429798869096</v>
      </c>
      <c r="R248" s="244" cm="1">
        <f t="array" ref="R248">_xlfn.SWITCH(TRUE,
  $C248&lt;$Q$5,  $S$41*$C248+$T$41,
  $C248&lt;$Q$6,  $S$42*$C248+$T$42,
  $C248&lt;$Q$7,  $S$43*$C248+$T$43,
  $C248&lt;$Q$8, $S$44*$C248+$T$44,
  $C248&lt;$Q$9, $S$45*$C248+$T$45,
  $C248&lt;$Q$10, $S$46*$C248+$T$46,
  $C248&lt;$Q$11,  $S$47*$C248+$T$47,
  $C248&lt;$Q$12, $S$48*$C248+$T$48,
  $S$49*$C248+$T$49
)</f>
        <v>0.79636363636363627</v>
      </c>
      <c r="S248" cm="1">
        <f t="array" ref="S248">_xlfn.SWITCH(TRUE,
  $C248&lt;$Q$5,  $U$41*$C248+$V$41,
  $C248&lt;$Q$6,  $U$42*$C248+$V$42,
  $C248&lt;$Q$7,  $U$43*$C248+$V$43,
  $C248&lt;$Q$8, $U$44*$C248+$V$44,
  $C248&lt;$Q$9, $U$45*$C248+$V$45,
  $C248&lt;$Q$10, $U$46*$C248+$V$46,
  $C248&lt;$Q$11,  $U$47*$C248+$V$47,
  $C248&lt;$Q$12, $U$48*$C248+$V$48,
  $U$49*$C248+$V$49
)</f>
        <v>3.8</v>
      </c>
      <c r="T248">
        <f t="shared" si="14"/>
        <v>0</v>
      </c>
      <c r="U248">
        <f t="shared" si="15"/>
        <v>1</v>
      </c>
      <c r="V248">
        <f t="shared" si="16"/>
        <v>0</v>
      </c>
      <c r="W248">
        <f t="shared" si="17"/>
        <v>0</v>
      </c>
      <c r="X248">
        <f t="shared" si="18"/>
        <v>0</v>
      </c>
      <c r="Y248">
        <f t="shared" si="19"/>
        <v>0</v>
      </c>
      <c r="Z248">
        <v>3.7751918337244712</v>
      </c>
      <c r="AA248">
        <v>4.2384353818655898</v>
      </c>
      <c r="AB248">
        <v>6.0956282064481266</v>
      </c>
      <c r="AC248" s="129">
        <v>0.20437928101440161</v>
      </c>
      <c r="AD248" s="244" cm="1">
        <f t="array" ref="AD248">_xlfn.SWITCH(TRUE,
  $C248&lt;$Q$5,  $S$61*$C248+$T$61,
  $C248&lt;$Q$6,  $S$62*$C248+$T$62,
  $C248&lt;$Q$7,  $S$63*$C248+$T$63,
  $C248&lt;$Q$8, $S$64*$C248+$T$64,
  $C248&lt;$Q$9, $S$65*$C248+$T$65,
  $C248&lt;$Q$10, $S$66*$C248+$T$66,
  $C248&lt;$Q$11,  $S$67*$C248+$T$67,
  $C248&lt;$Q$12, $S$68*$C248+$T$68,
  $S$69*$C248+$T$69
)</f>
        <v>0.79727272727272736</v>
      </c>
      <c r="AE248" cm="1">
        <f t="array" ref="AE248">_xlfn.SWITCH(TRUE,
  $C248&lt;$Q$5,  $U$61*$C248+$V$61,
  $C248&lt;$Q$6,  $U$62*$C248+$V$62,
  $C248&lt;$Q$7,  $U$63*$C248+$V$63,
  $C248&lt;$Q$8, $U$64*$C248+$V$64,
  $C248&lt;$Q$9, $U$65*$C248+$V$65,
  $C248&lt;$Q$10, $U$66*$C248+$V$66,
  $C248&lt;$Q$11,  $U$67*$C248+$V$67,
  $C248&lt;$Q$12, $U$68*$C248+$V$68,
  $U$69*$C248+$V$69
)</f>
        <v>3.8</v>
      </c>
      <c r="AF248" cm="1">
        <f t="array" ref="AF248">_xlfn.LET(
  _xlpm.y,$C248,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8" cm="1">
        <f t="array" ref="AG248">_xlfn.LET(
  _xlpm.y,$C248,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8" cm="1">
        <f t="array" ref="AH248">_xlfn.LET(
  _xlpm.y,$C248,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8" cm="1">
        <f t="array" ref="AI248">_xlfn.LET(
  _xlpm.y,$C248,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8" cm="1">
        <f t="array" ref="AJ248">_xlfn.LET(
  _xlpm.y,$C248,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8">
        <f t="shared" si="20"/>
        <v>0</v>
      </c>
      <c r="AL248">
        <v>3.7022184101670206</v>
      </c>
      <c r="AM248">
        <v>3.9255692738799657</v>
      </c>
      <c r="AN248">
        <v>6.0957515948652574</v>
      </c>
      <c r="AO248">
        <v>0.20175022632999595</v>
      </c>
    </row>
    <row r="249" spans="2:41">
      <c r="B249">
        <f>'主翼(型紙出力)'!B92</f>
        <v>41</v>
      </c>
      <c r="C249">
        <f>INT(('主翼(型紙出力)'!C92)*1000)/1000</f>
        <v>6.25</v>
      </c>
      <c r="D249">
        <f>'主翼(型紙出力)'!E92</f>
        <v>0.15</v>
      </c>
      <c r="E249">
        <f>'主翼(重量推算)'!CE89</f>
        <v>1.6231806840492491</v>
      </c>
      <c r="F249" s="244" cm="1">
        <f t="array" ref="F249">_xlfn.SWITCH(TRUE,
  $C249&lt;$Q$5,  $S$22*$C249+$T$22,
  $C249&lt;$Q$6,  $S$23*$C249+$T$23,
  $C249&lt;$Q$7,  $S$24*$C249+$T$24,
  $C249&lt;$Q$8, $S$25*$C249+$T$25,
  $C249&lt;$Q$9, $S$26*$C249+$T$26,
  $C249&lt;$Q$10, $S$27*$C249+$T$27,
  $C249&lt;$Q$11,  $S$28*$C249+$T$28,
  $C249&lt;$Q$12, $S$29*$C249+$T$29,
  $S$30*$C249+$T$30
)</f>
        <v>0.88836363636363636</v>
      </c>
      <c r="G249" cm="1">
        <f t="array" ref="G249">_xlfn.SWITCH(TRUE,
  $C249&lt;$Q$5,  $U$22*$C249+$V$22,
  $C249&lt;$Q$6,  $U$23*$C249+$V$23,
  $C249&lt;$Q$7,  $U$24*$C249+$V$24,
  $C249&lt;$Q$8, $U$25*$C249+$V$25,
  $C249&lt;$Q$9, $U$26*$C249+$V$26,
  $C249&lt;$Q$10, $U$27*$C249+$V$27,
  $C249&lt;$Q$11,  $U$28*$C249+$V$28,
  $C249&lt;$Q$12, $U$29*$C249+$V$29,
  $U$30*$C249+$V$30
)</f>
        <v>3.4</v>
      </c>
      <c r="H249" cm="1">
        <f t="array" ref="H249">_xlfn.LET(
  _xlpm.y,$C249,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9" cm="1">
        <f t="array" ref="I249">_xlfn.LET(
  _xlpm.y,$C249,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9" cm="1">
        <f t="array" ref="J249">_xlfn.LET(
  _xlpm.y,$C249,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9" cm="1">
        <f t="array" ref="K249">_xlfn.LET(
  _xlpm.y,$C249,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9" cm="1">
        <f t="array" ref="L249">_xlfn.LET(
  _xlpm.y,$C249,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9" cm="1">
        <f t="array" ref="M249">_xlfn.SWITCH(TRUE,
  $C249&lt;$Q$5,  $D$22,
  $C249&lt;$Q$6,  $D$23,
  $C249&lt;$Q$7,  $D$24,
  $C249&lt;$Q$8,  $D$25,
  $C249&lt;$Q$9,  $D$26,
  $C249&lt;$Q$10,  $D$27,
  $C249&lt;$Q$11,  $D$28,
  $C249&lt;$Q$12,  $D$29,
  $C249&lt;$Q$13,  $D$30,
  $C249&lt;100,  $D$31,
)</f>
        <v>0</v>
      </c>
      <c r="N249">
        <v>4.3332389321796123</v>
      </c>
      <c r="O249">
        <v>4.7181115143302481</v>
      </c>
      <c r="P249">
        <v>6.2442471899850966</v>
      </c>
      <c r="Q249" s="129">
        <v>0.2361966228923042</v>
      </c>
      <c r="R249" s="244" cm="1">
        <f t="array" ref="R249">_xlfn.SWITCH(TRUE,
  $C249&lt;$Q$5,  $S$41*$C249+$T$41,
  $C249&lt;$Q$6,  $S$42*$C249+$T$42,
  $C249&lt;$Q$7,  $S$43*$C249+$T$43,
  $C249&lt;$Q$8, $S$44*$C249+$T$44,
  $C249&lt;$Q$9, $S$45*$C249+$T$45,
  $C249&lt;$Q$10, $S$46*$C249+$T$46,
  $C249&lt;$Q$11,  $S$47*$C249+$T$47,
  $C249&lt;$Q$12, $S$48*$C249+$T$48,
  $S$49*$C249+$T$49
)</f>
        <v>0.78872727272727261</v>
      </c>
      <c r="S249" cm="1">
        <f t="array" ref="S249">_xlfn.SWITCH(TRUE,
  $C249&lt;$Q$5,  $U$41*$C249+$V$41,
  $C249&lt;$Q$6,  $U$42*$C249+$V$42,
  $C249&lt;$Q$7,  $U$43*$C249+$V$43,
  $C249&lt;$Q$8, $U$44*$C249+$V$44,
  $C249&lt;$Q$9, $U$45*$C249+$V$45,
  $C249&lt;$Q$10, $U$46*$C249+$V$46,
  $C249&lt;$Q$11,  $U$47*$C249+$V$47,
  $C249&lt;$Q$12, $U$48*$C249+$V$48,
  $U$49*$C249+$V$49
)</f>
        <v>3.8</v>
      </c>
      <c r="T249">
        <f t="shared" si="14"/>
        <v>0</v>
      </c>
      <c r="U249">
        <f t="shared" si="15"/>
        <v>1</v>
      </c>
      <c r="V249">
        <f t="shared" si="16"/>
        <v>0</v>
      </c>
      <c r="W249">
        <f t="shared" si="17"/>
        <v>0</v>
      </c>
      <c r="X249">
        <f t="shared" si="18"/>
        <v>0</v>
      </c>
      <c r="Y249">
        <f t="shared" si="19"/>
        <v>0</v>
      </c>
      <c r="Z249">
        <v>3.866879686145559</v>
      </c>
      <c r="AA249">
        <v>4.1796968404517871</v>
      </c>
      <c r="AB249">
        <v>6.2453027169946571</v>
      </c>
      <c r="AC249" s="129">
        <v>0.21425556030655732</v>
      </c>
      <c r="AD249" s="244" cm="1">
        <f t="array" ref="AD249">_xlfn.SWITCH(TRUE,
  $C249&lt;$Q$5,  $S$61*$C249+$T$61,
  $C249&lt;$Q$6,  $S$62*$C249+$T$62,
  $C249&lt;$Q$7,  $S$63*$C249+$T$63,
  $C249&lt;$Q$8, $S$64*$C249+$T$64,
  $C249&lt;$Q$9, $S$65*$C249+$T$65,
  $C249&lt;$Q$10, $S$66*$C249+$T$66,
  $C249&lt;$Q$11,  $S$67*$C249+$T$67,
  $C249&lt;$Q$12, $S$68*$C249+$T$68,
  $S$69*$C249+$T$69
)</f>
        <v>0.78854545454545466</v>
      </c>
      <c r="AE249" cm="1">
        <f t="array" ref="AE249">_xlfn.SWITCH(TRUE,
  $C249&lt;$Q$5,  $U$61*$C249+$V$61,
  $C249&lt;$Q$6,  $U$62*$C249+$V$62,
  $C249&lt;$Q$7,  $U$63*$C249+$V$63,
  $C249&lt;$Q$8, $U$64*$C249+$V$64,
  $C249&lt;$Q$9, $U$65*$C249+$V$65,
  $C249&lt;$Q$10, $U$66*$C249+$V$66,
  $C249&lt;$Q$11,  $U$67*$C249+$V$67,
  $C249&lt;$Q$12, $U$68*$C249+$V$68,
  $U$69*$C249+$V$69
)</f>
        <v>3.8</v>
      </c>
      <c r="AF249" cm="1">
        <f t="array" ref="AF249">_xlfn.LET(
  _xlpm.y,$C249,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9" cm="1">
        <f t="array" ref="AG249">_xlfn.LET(
  _xlpm.y,$C249,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9" cm="1">
        <f t="array" ref="AH249">_xlfn.LET(
  _xlpm.y,$C249,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9" cm="1">
        <f t="array" ref="AI249">_xlfn.LET(
  _xlpm.y,$C249,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9" cm="1">
        <f t="array" ref="AJ249">_xlfn.LET(
  _xlpm.y,$C249,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9">
        <f t="shared" si="20"/>
        <v>0</v>
      </c>
      <c r="AL249">
        <v>3.789996486508115</v>
      </c>
      <c r="AM249">
        <v>3.8751476623260328</v>
      </c>
      <c r="AN249">
        <v>6.2454385627041615</v>
      </c>
      <c r="AO249">
        <v>0.21143586823927935</v>
      </c>
    </row>
    <row r="250" spans="2:41">
      <c r="B250">
        <f>'主翼(型紙出力)'!B93</f>
        <v>42</v>
      </c>
      <c r="C250">
        <f>INT(('主翼(型紙出力)'!C93)*1000)/1000</f>
        <v>6.4</v>
      </c>
      <c r="D250">
        <f>'主翼(型紙出力)'!E93</f>
        <v>0.15</v>
      </c>
      <c r="E250">
        <f>'主翼(重量推算)'!CE90</f>
        <v>1.5630484123099384</v>
      </c>
      <c r="F250" s="244" cm="1">
        <f t="array" ref="F250">_xlfn.SWITCH(TRUE,
  $C250&lt;$Q$5,  $S$22*$C250+$T$22,
  $C250&lt;$Q$6,  $S$23*$C250+$T$23,
  $C250&lt;$Q$7,  $S$24*$C250+$T$24,
  $C250&lt;$Q$8, $S$25*$C250+$T$25,
  $C250&lt;$Q$9, $S$26*$C250+$T$26,
  $C250&lt;$Q$10, $S$27*$C250+$T$27,
  $C250&lt;$Q$11,  $S$28*$C250+$T$28,
  $C250&lt;$Q$12, $S$29*$C250+$T$29,
  $S$30*$C250+$T$30
)</f>
        <v>0.87854545454545452</v>
      </c>
      <c r="G250" cm="1">
        <f t="array" ref="G250">_xlfn.SWITCH(TRUE,
  $C250&lt;$Q$5,  $U$22*$C250+$V$22,
  $C250&lt;$Q$6,  $U$23*$C250+$V$23,
  $C250&lt;$Q$7,  $U$24*$C250+$V$24,
  $C250&lt;$Q$8, $U$25*$C250+$V$25,
  $C250&lt;$Q$9, $U$26*$C250+$V$26,
  $C250&lt;$Q$10, $U$27*$C250+$V$27,
  $C250&lt;$Q$11,  $U$28*$C250+$V$28,
  $C250&lt;$Q$12, $U$29*$C250+$V$29,
  $U$30*$C250+$V$30
)</f>
        <v>3.4</v>
      </c>
      <c r="H250" cm="1">
        <f t="array" ref="H250">_xlfn.LET(
  _xlpm.y,$C250,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0" cm="1">
        <f t="array" ref="I250">_xlfn.LET(
  _xlpm.y,$C250,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0" cm="1">
        <f t="array" ref="J250">_xlfn.LET(
  _xlpm.y,$C250,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0" cm="1">
        <f t="array" ref="K250">_xlfn.LET(
  _xlpm.y,$C250,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0" cm="1">
        <f t="array" ref="L250">_xlfn.LET(
  _xlpm.y,$C250,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0" cm="1">
        <f t="array" ref="M250">_xlfn.SWITCH(TRUE,
  $C250&lt;$Q$5,  $D$22,
  $C250&lt;$Q$6,  $D$23,
  $C250&lt;$Q$7,  $D$24,
  $C250&lt;$Q$8,  $D$25,
  $C250&lt;$Q$9,  $D$26,
  $C250&lt;$Q$10,  $D$27,
  $C250&lt;$Q$11,  $D$28,
  $C250&lt;$Q$12,  $D$29,
  $C250&lt;$Q$13,  $D$30,
  $C250&lt;100,  $D$31,
)</f>
        <v>0</v>
      </c>
      <c r="N250">
        <v>4.4401178271191561</v>
      </c>
      <c r="O250">
        <v>4.6603817150797324</v>
      </c>
      <c r="P250">
        <v>6.3938184102461797</v>
      </c>
      <c r="Q250" s="129">
        <v>0.24753020439202048</v>
      </c>
      <c r="R250" s="244" cm="1">
        <f t="array" ref="R250">_xlfn.SWITCH(TRUE,
  $C250&lt;$Q$5,  $S$41*$C250+$T$41,
  $C250&lt;$Q$6,  $S$42*$C250+$T$42,
  $C250&lt;$Q$7,  $S$43*$C250+$T$43,
  $C250&lt;$Q$8, $S$44*$C250+$T$44,
  $C250&lt;$Q$9, $S$45*$C250+$T$45,
  $C250&lt;$Q$10, $S$46*$C250+$T$46,
  $C250&lt;$Q$11,  $S$47*$C250+$T$47,
  $C250&lt;$Q$12, $S$48*$C250+$T$48,
  $S$49*$C250+$T$49
)</f>
        <v>0.78109090909090895</v>
      </c>
      <c r="S250" cm="1">
        <f t="array" ref="S250">_xlfn.SWITCH(TRUE,
  $C250&lt;$Q$5,  $U$41*$C250+$V$41,
  $C250&lt;$Q$6,  $U$42*$C250+$V$42,
  $C250&lt;$Q$7,  $U$43*$C250+$V$43,
  $C250&lt;$Q$8, $U$44*$C250+$V$44,
  $C250&lt;$Q$9, $U$45*$C250+$V$45,
  $C250&lt;$Q$10, $U$46*$C250+$V$46,
  $C250&lt;$Q$11,  $U$47*$C250+$V$47,
  $C250&lt;$Q$12, $U$48*$C250+$V$48,
  $U$49*$C250+$V$49
)</f>
        <v>3.8</v>
      </c>
      <c r="T250">
        <f t="shared" si="14"/>
        <v>0</v>
      </c>
      <c r="U250">
        <f t="shared" si="15"/>
        <v>1</v>
      </c>
      <c r="V250">
        <f t="shared" si="16"/>
        <v>0</v>
      </c>
      <c r="W250">
        <f t="shared" si="17"/>
        <v>0</v>
      </c>
      <c r="X250">
        <f t="shared" si="18"/>
        <v>0</v>
      </c>
      <c r="Y250">
        <f t="shared" si="19"/>
        <v>0</v>
      </c>
      <c r="Z250">
        <v>3.9575687712337873</v>
      </c>
      <c r="AA250">
        <v>4.1203572852926946</v>
      </c>
      <c r="AB250">
        <v>6.3949612313391313</v>
      </c>
      <c r="AC250" s="129">
        <v>0.22437134422105209</v>
      </c>
      <c r="AD250" s="244" cm="1">
        <f t="array" ref="AD250">_xlfn.SWITCH(TRUE,
  $C250&lt;$Q$5,  $S$61*$C250+$T$61,
  $C250&lt;$Q$6,  $S$62*$C250+$T$62,
  $C250&lt;$Q$7,  $S$63*$C250+$T$63,
  $C250&lt;$Q$8, $S$64*$C250+$T$64,
  $C250&lt;$Q$9, $S$65*$C250+$T$65,
  $C250&lt;$Q$10, $S$66*$C250+$T$66,
  $C250&lt;$Q$11,  $S$67*$C250+$T$67,
  $C250&lt;$Q$12, $S$68*$C250+$T$68,
  $S$69*$C250+$T$69
)</f>
        <v>0.77981818181818197</v>
      </c>
      <c r="AE250" cm="1">
        <f t="array" ref="AE250">_xlfn.SWITCH(TRUE,
  $C250&lt;$Q$5,  $U$61*$C250+$V$61,
  $C250&lt;$Q$6,  $U$62*$C250+$V$62,
  $C250&lt;$Q$7,  $U$63*$C250+$V$63,
  $C250&lt;$Q$8, $U$64*$C250+$V$64,
  $C250&lt;$Q$9, $U$65*$C250+$V$65,
  $C250&lt;$Q$10, $U$66*$C250+$V$66,
  $C250&lt;$Q$11,  $U$67*$C250+$V$67,
  $C250&lt;$Q$12, $U$68*$C250+$V$68,
  $U$69*$C250+$V$69
)</f>
        <v>3.8</v>
      </c>
      <c r="AF250" cm="1">
        <f t="array" ref="AF250">_xlfn.LET(
  _xlpm.y,$C250,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0" cm="1">
        <f t="array" ref="AG250">_xlfn.LET(
  _xlpm.y,$C250,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0" cm="1">
        <f t="array" ref="AH250">_xlfn.LET(
  _xlpm.y,$C250,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0" cm="1">
        <f t="array" ref="AI250">_xlfn.LET(
  _xlpm.y,$C250,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0" cm="1">
        <f t="array" ref="AJ250">_xlfn.LET(
  _xlpm.y,$C250,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0">
        <f t="shared" si="20"/>
        <v>0</v>
      </c>
      <c r="AL250">
        <v>3.876648012293006</v>
      </c>
      <c r="AM250">
        <v>3.8241161547657869</v>
      </c>
      <c r="AN250">
        <v>6.3951105163230126</v>
      </c>
      <c r="AO250">
        <v>0.22135082158846245</v>
      </c>
    </row>
    <row r="251" spans="2:41">
      <c r="B251">
        <f>'主翼(型紙出力)'!B94</f>
        <v>43</v>
      </c>
      <c r="C251">
        <f>INT(('主翼(型紙出力)'!C94)*1000)/1000</f>
        <v>6.55</v>
      </c>
      <c r="D251">
        <f>'主翼(型紙出力)'!E94</f>
        <v>0.15</v>
      </c>
      <c r="E251">
        <f>'主翼(重量推算)'!CE91</f>
        <v>1.5780938741892994</v>
      </c>
      <c r="F251" s="244" cm="1">
        <f t="array" ref="F251">_xlfn.SWITCH(TRUE,
  $C251&lt;$Q$5,  $S$22*$C251+$T$22,
  $C251&lt;$Q$6,  $S$23*$C251+$T$23,
  $C251&lt;$Q$7,  $S$24*$C251+$T$24,
  $C251&lt;$Q$8, $S$25*$C251+$T$25,
  $C251&lt;$Q$9, $S$26*$C251+$T$26,
  $C251&lt;$Q$10, $S$27*$C251+$T$27,
  $C251&lt;$Q$11,  $S$28*$C251+$T$28,
  $C251&lt;$Q$12, $S$29*$C251+$T$29,
  $S$30*$C251+$T$30
)</f>
        <v>0.86872727272727279</v>
      </c>
      <c r="G251" cm="1">
        <f t="array" ref="G251">_xlfn.SWITCH(TRUE,
  $C251&lt;$Q$5,  $U$22*$C251+$V$22,
  $C251&lt;$Q$6,  $U$23*$C251+$V$23,
  $C251&lt;$Q$7,  $U$24*$C251+$V$24,
  $C251&lt;$Q$8, $U$25*$C251+$V$25,
  $C251&lt;$Q$9, $U$26*$C251+$V$26,
  $C251&lt;$Q$10, $U$27*$C251+$V$27,
  $C251&lt;$Q$11,  $U$28*$C251+$V$28,
  $C251&lt;$Q$12, $U$29*$C251+$V$29,
  $U$30*$C251+$V$30
)</f>
        <v>3.4</v>
      </c>
      <c r="H251" cm="1">
        <f t="array" ref="H251">_xlfn.LET(
  _xlpm.y,$C251,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1" cm="1">
        <f t="array" ref="I251">_xlfn.LET(
  _xlpm.y,$C251,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1" cm="1">
        <f t="array" ref="J251">_xlfn.LET(
  _xlpm.y,$C251,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1" cm="1">
        <f t="array" ref="K251">_xlfn.LET(
  _xlpm.y,$C251,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1" cm="1">
        <f t="array" ref="L251">_xlfn.LET(
  _xlpm.y,$C251,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1" cm="1">
        <f t="array" ref="M251">_xlfn.SWITCH(TRUE,
  $C251&lt;$Q$5,  $D$22,
  $C251&lt;$Q$6,  $D$23,
  $C251&lt;$Q$7,  $D$24,
  $C251&lt;$Q$8,  $D$25,
  $C251&lt;$Q$9,  $D$26,
  $C251&lt;$Q$10,  $D$27,
  $C251&lt;$Q$11,  $D$28,
  $C251&lt;$Q$12,  $D$29,
  $C251&lt;$Q$13,  $D$30,
  $C251&lt;100,  $D$31,
)</f>
        <v>0</v>
      </c>
      <c r="N251">
        <v>4.5461116227198799</v>
      </c>
      <c r="O251">
        <v>4.6019323575706856</v>
      </c>
      <c r="P251">
        <v>6.5433682287560773</v>
      </c>
      <c r="Q251" s="129">
        <v>0.25914277446313816</v>
      </c>
      <c r="R251" s="244" cm="1">
        <f t="array" ref="R251">_xlfn.SWITCH(TRUE,
  $C251&lt;$Q$5,  $S$41*$C251+$T$41,
  $C251&lt;$Q$6,  $S$42*$C251+$T$42,
  $C251&lt;$Q$7,  $S$43*$C251+$T$43,
  $C251&lt;$Q$8, $S$44*$C251+$T$44,
  $C251&lt;$Q$9, $S$45*$C251+$T$45,
  $C251&lt;$Q$10, $S$46*$C251+$T$46,
  $C251&lt;$Q$11,  $S$47*$C251+$T$47,
  $C251&lt;$Q$12, $S$48*$C251+$T$48,
  $S$49*$C251+$T$49
)</f>
        <v>0.77345454545454539</v>
      </c>
      <c r="S251" cm="1">
        <f t="array" ref="S251">_xlfn.SWITCH(TRUE,
  $C251&lt;$Q$5,  $U$41*$C251+$V$41,
  $C251&lt;$Q$6,  $U$42*$C251+$V$42,
  $C251&lt;$Q$7,  $U$43*$C251+$V$43,
  $C251&lt;$Q$8, $U$44*$C251+$V$44,
  $C251&lt;$Q$9, $U$45*$C251+$V$45,
  $C251&lt;$Q$10, $U$46*$C251+$V$46,
  $C251&lt;$Q$11,  $U$47*$C251+$V$47,
  $C251&lt;$Q$12, $U$48*$C251+$V$48,
  $U$49*$C251+$V$49
)</f>
        <v>3.8</v>
      </c>
      <c r="T251">
        <f t="shared" si="14"/>
        <v>0</v>
      </c>
      <c r="U251">
        <f t="shared" si="15"/>
        <v>1</v>
      </c>
      <c r="V251">
        <f t="shared" si="16"/>
        <v>0</v>
      </c>
      <c r="W251">
        <f t="shared" si="17"/>
        <v>0</v>
      </c>
      <c r="X251">
        <f t="shared" si="18"/>
        <v>0</v>
      </c>
      <c r="Y251">
        <f t="shared" si="19"/>
        <v>0</v>
      </c>
      <c r="Z251">
        <v>4.0472341818320725</v>
      </c>
      <c r="AA251">
        <v>4.0604212083632296</v>
      </c>
      <c r="AB251">
        <v>6.5446035467216559</v>
      </c>
      <c r="AC251" s="129">
        <v>0.23472399832312155</v>
      </c>
      <c r="AD251" s="244" cm="1">
        <f t="array" ref="AD251">_xlfn.SWITCH(TRUE,
  $C251&lt;$Q$5,  $S$61*$C251+$T$61,
  $C251&lt;$Q$6,  $S$62*$C251+$T$62,
  $C251&lt;$Q$7,  $S$63*$C251+$T$63,
  $C251&lt;$Q$8, $S$64*$C251+$T$64,
  $C251&lt;$Q$9, $S$65*$C251+$T$65,
  $C251&lt;$Q$10, $S$66*$C251+$T$66,
  $C251&lt;$Q$11,  $S$67*$C251+$T$67,
  $C251&lt;$Q$12, $S$68*$C251+$T$68,
  $S$69*$C251+$T$69
)</f>
        <v>0.77109090909090927</v>
      </c>
      <c r="AE251" cm="1">
        <f t="array" ref="AE251">_xlfn.SWITCH(TRUE,
  $C251&lt;$Q$5,  $U$61*$C251+$V$61,
  $C251&lt;$Q$6,  $U$62*$C251+$V$62,
  $C251&lt;$Q$7,  $U$63*$C251+$V$63,
  $C251&lt;$Q$8, $U$64*$C251+$V$64,
  $C251&lt;$Q$9, $U$65*$C251+$V$65,
  $C251&lt;$Q$10, $U$66*$C251+$V$66,
  $C251&lt;$Q$11,  $U$67*$C251+$V$67,
  $C251&lt;$Q$12, $U$68*$C251+$V$68,
  $U$69*$C251+$V$69
)</f>
        <v>3.8</v>
      </c>
      <c r="AF251" cm="1">
        <f t="array" ref="AF251">_xlfn.LET(
  _xlpm.y,$C251,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1" cm="1">
        <f t="array" ref="AG251">_xlfn.LET(
  _xlpm.y,$C251,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1" cm="1">
        <f t="array" ref="AH251">_xlfn.LET(
  _xlpm.y,$C251,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1" cm="1">
        <f t="array" ref="AI251">_xlfn.LET(
  _xlpm.y,$C251,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1" cm="1">
        <f t="array" ref="AJ251">_xlfn.LET(
  _xlpm.y,$C251,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1">
        <f t="shared" si="20"/>
        <v>0</v>
      </c>
      <c r="AL251">
        <v>3.9621408078776073</v>
      </c>
      <c r="AM251">
        <v>3.7724113541248343</v>
      </c>
      <c r="AN251">
        <v>6.5447673038579861</v>
      </c>
      <c r="AO251">
        <v>0.23149212055416701</v>
      </c>
    </row>
    <row r="252" spans="2:41">
      <c r="B252">
        <f>'主翼(型紙出力)'!B95</f>
        <v>44</v>
      </c>
      <c r="C252">
        <f>INT(('主翼(型紙出力)'!C95)*1000)/1000</f>
        <v>6.7</v>
      </c>
      <c r="D252">
        <f>'主翼(型紙出力)'!E95</f>
        <v>0.15</v>
      </c>
      <c r="E252">
        <f>'主翼(重量推算)'!CE92</f>
        <v>1.5195959122916867</v>
      </c>
      <c r="F252" s="244" cm="1">
        <f t="array" ref="F252">_xlfn.SWITCH(TRUE,
  $C252&lt;$Q$5,  $S$22*$C252+$T$22,
  $C252&lt;$Q$6,  $S$23*$C252+$T$23,
  $C252&lt;$Q$7,  $S$24*$C252+$T$24,
  $C252&lt;$Q$8, $S$25*$C252+$T$25,
  $C252&lt;$Q$9, $S$26*$C252+$T$26,
  $C252&lt;$Q$10, $S$27*$C252+$T$27,
  $C252&lt;$Q$11,  $S$28*$C252+$T$28,
  $C252&lt;$Q$12, $S$29*$C252+$T$29,
  $S$30*$C252+$T$30
)</f>
        <v>0.85890909090909084</v>
      </c>
      <c r="G252" cm="1">
        <f t="array" ref="G252">_xlfn.SWITCH(TRUE,
  $C252&lt;$Q$5,  $U$22*$C252+$V$22,
  $C252&lt;$Q$6,  $U$23*$C252+$V$23,
  $C252&lt;$Q$7,  $U$24*$C252+$V$24,
  $C252&lt;$Q$8, $U$25*$C252+$V$25,
  $C252&lt;$Q$9, $U$26*$C252+$V$26,
  $C252&lt;$Q$10, $U$27*$C252+$V$27,
  $C252&lt;$Q$11,  $U$28*$C252+$V$28,
  $C252&lt;$Q$12, $U$29*$C252+$V$29,
  $U$30*$C252+$V$30
)</f>
        <v>3.4</v>
      </c>
      <c r="H252" cm="1">
        <f t="array" ref="H252">_xlfn.LET(
  _xlpm.y,$C252,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2" cm="1">
        <f t="array" ref="I252">_xlfn.LET(
  _xlpm.y,$C252,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2" cm="1">
        <f t="array" ref="J252">_xlfn.LET(
  _xlpm.y,$C252,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2" cm="1">
        <f t="array" ref="K252">_xlfn.LET(
  _xlpm.y,$C252,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2" cm="1">
        <f t="array" ref="L252">_xlfn.LET(
  _xlpm.y,$C252,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2" cm="1">
        <f t="array" ref="M252">_xlfn.SWITCH(TRUE,
  $C252&lt;$Q$5,  $D$22,
  $C252&lt;$Q$6,  $D$23,
  $C252&lt;$Q$7,  $D$24,
  $C252&lt;$Q$8,  $D$25,
  $C252&lt;$Q$9,  $D$26,
  $C252&lt;$Q$10,  $D$27,
  $C252&lt;$Q$11,  $D$28,
  $C252&lt;$Q$12,  $D$29,
  $C252&lt;$Q$13,  $D$30,
  $C252&lt;100,  $D$31,
)</f>
        <v>0</v>
      </c>
      <c r="N252">
        <v>4.6511888615967738</v>
      </c>
      <c r="O252">
        <v>4.5428514595248028</v>
      </c>
      <c r="P252">
        <v>6.6928963088113376</v>
      </c>
      <c r="Q252" s="129">
        <v>0.27103198280464197</v>
      </c>
      <c r="R252" s="244" cm="1">
        <f t="array" ref="R252">_xlfn.SWITCH(TRUE,
  $C252&lt;$Q$5,  $S$41*$C252+$T$41,
  $C252&lt;$Q$6,  $S$42*$C252+$T$42,
  $C252&lt;$Q$7,  $S$43*$C252+$T$43,
  $C252&lt;$Q$8, $S$44*$C252+$T$44,
  $C252&lt;$Q$9, $S$45*$C252+$T$45,
  $C252&lt;$Q$10, $S$46*$C252+$T$46,
  $C252&lt;$Q$11,  $S$47*$C252+$T$47,
  $C252&lt;$Q$12, $S$48*$C252+$T$48,
  $S$49*$C252+$T$49
)</f>
        <v>0.76581818181818173</v>
      </c>
      <c r="S252" cm="1">
        <f t="array" ref="S252">_xlfn.SWITCH(TRUE,
  $C252&lt;$Q$5,  $U$41*$C252+$V$41,
  $C252&lt;$Q$6,  $U$42*$C252+$V$42,
  $C252&lt;$Q$7,  $U$43*$C252+$V$43,
  $C252&lt;$Q$8, $U$44*$C252+$V$44,
  $C252&lt;$Q$9, $U$45*$C252+$V$45,
  $C252&lt;$Q$10, $U$46*$C252+$V$46,
  $C252&lt;$Q$11,  $U$47*$C252+$V$47,
  $C252&lt;$Q$12, $U$48*$C252+$V$48,
  $U$49*$C252+$V$49
)</f>
        <v>3.8</v>
      </c>
      <c r="T252">
        <f t="shared" si="14"/>
        <v>0</v>
      </c>
      <c r="U252">
        <f t="shared" si="15"/>
        <v>1</v>
      </c>
      <c r="V252">
        <f t="shared" si="16"/>
        <v>0</v>
      </c>
      <c r="W252">
        <f t="shared" si="17"/>
        <v>0</v>
      </c>
      <c r="X252">
        <f t="shared" si="18"/>
        <v>0</v>
      </c>
      <c r="Y252">
        <f t="shared" si="19"/>
        <v>0</v>
      </c>
      <c r="Z252">
        <v>4.1358527049572107</v>
      </c>
      <c r="AA252">
        <v>3.9998900914656286</v>
      </c>
      <c r="AB252">
        <v>6.6942294774123559</v>
      </c>
      <c r="AC252" s="129">
        <v>0.24531082338741372</v>
      </c>
      <c r="AD252" s="244" cm="1">
        <f t="array" ref="AD252">_xlfn.SWITCH(TRUE,
  $C252&lt;$Q$5,  $S$61*$C252+$T$61,
  $C252&lt;$Q$6,  $S$62*$C252+$T$62,
  $C252&lt;$Q$7,  $S$63*$C252+$T$63,
  $C252&lt;$Q$8, $S$64*$C252+$T$64,
  $C252&lt;$Q$9, $S$65*$C252+$T$65,
  $C252&lt;$Q$10, $S$66*$C252+$T$66,
  $C252&lt;$Q$11,  $S$67*$C252+$T$67,
  $C252&lt;$Q$12, $S$68*$C252+$T$68,
  $S$69*$C252+$T$69
)</f>
        <v>0.76236363636363647</v>
      </c>
      <c r="AE252" cm="1">
        <f t="array" ref="AE252">_xlfn.SWITCH(TRUE,
  $C252&lt;$Q$5,  $U$61*$C252+$V$61,
  $C252&lt;$Q$6,  $U$62*$C252+$V$62,
  $C252&lt;$Q$7,  $U$63*$C252+$V$63,
  $C252&lt;$Q$8, $U$64*$C252+$V$64,
  $C252&lt;$Q$9, $U$65*$C252+$V$65,
  $C252&lt;$Q$10, $U$66*$C252+$V$66,
  $C252&lt;$Q$11,  $U$67*$C252+$V$67,
  $C252&lt;$Q$12, $U$68*$C252+$V$68,
  $U$69*$C252+$V$69
)</f>
        <v>3.8</v>
      </c>
      <c r="AF252" cm="1">
        <f t="array" ref="AF252">_xlfn.LET(
  _xlpm.y,$C252,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2" cm="1">
        <f t="array" ref="AG252">_xlfn.LET(
  _xlpm.y,$C252,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2" cm="1">
        <f t="array" ref="AH252">_xlfn.LET(
  _xlpm.y,$C252,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2" cm="1">
        <f t="array" ref="AI252">_xlfn.LET(
  _xlpm.y,$C252,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2" cm="1">
        <f t="array" ref="AJ252">_xlfn.LET(
  _xlpm.y,$C252,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2">
        <f t="shared" si="20"/>
        <v>0</v>
      </c>
      <c r="AL252">
        <v>4.0464432079701727</v>
      </c>
      <c r="AM252">
        <v>3.7199674468616268</v>
      </c>
      <c r="AN252">
        <v>6.6944087926523803</v>
      </c>
      <c r="AO252">
        <v>0.24185671564501393</v>
      </c>
    </row>
    <row r="253" spans="2:41">
      <c r="B253">
        <f>'主翼(型紙出力)'!B96</f>
        <v>45</v>
      </c>
      <c r="C253">
        <f>INT(('主翼(型紙出力)'!C96)*1000)/1000</f>
        <v>6.85</v>
      </c>
      <c r="D253">
        <f>'主翼(型紙出力)'!E96</f>
        <v>0.15</v>
      </c>
      <c r="E253">
        <f>'主翼(重量推算)'!CE93</f>
        <v>1.5331516663517988</v>
      </c>
      <c r="F253" s="244" cm="1">
        <f t="array" ref="F253">_xlfn.SWITCH(TRUE,
  $C253&lt;$Q$5,  $S$22*$C253+$T$22,
  $C253&lt;$Q$6,  $S$23*$C253+$T$23,
  $C253&lt;$Q$7,  $S$24*$C253+$T$24,
  $C253&lt;$Q$8, $S$25*$C253+$T$25,
  $C253&lt;$Q$9, $S$26*$C253+$T$26,
  $C253&lt;$Q$10, $S$27*$C253+$T$27,
  $C253&lt;$Q$11,  $S$28*$C253+$T$28,
  $C253&lt;$Q$12, $S$29*$C253+$T$29,
  $S$30*$C253+$T$30
)</f>
        <v>0.84909090909090912</v>
      </c>
      <c r="G253" cm="1">
        <f t="array" ref="G253">_xlfn.SWITCH(TRUE,
  $C253&lt;$Q$5,  $U$22*$C253+$V$22,
  $C253&lt;$Q$6,  $U$23*$C253+$V$23,
  $C253&lt;$Q$7,  $U$24*$C253+$V$24,
  $C253&lt;$Q$8, $U$25*$C253+$V$25,
  $C253&lt;$Q$9, $U$26*$C253+$V$26,
  $C253&lt;$Q$10, $U$27*$C253+$V$27,
  $C253&lt;$Q$11,  $U$28*$C253+$V$28,
  $C253&lt;$Q$12, $U$29*$C253+$V$29,
  $U$30*$C253+$V$30
)</f>
        <v>3.4</v>
      </c>
      <c r="H253" cm="1">
        <f t="array" ref="H253">_xlfn.LET(
  _xlpm.y,$C253,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3" cm="1">
        <f t="array" ref="I253">_xlfn.LET(
  _xlpm.y,$C253,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3" cm="1">
        <f t="array" ref="J253">_xlfn.LET(
  _xlpm.y,$C253,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3" cm="1">
        <f t="array" ref="K253">_xlfn.LET(
  _xlpm.y,$C253,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3" cm="1">
        <f t="array" ref="L253">_xlfn.LET(
  _xlpm.y,$C253,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3" cm="1">
        <f t="array" ref="M253">_xlfn.SWITCH(TRUE,
  $C253&lt;$Q$5,  $D$22,
  $C253&lt;$Q$6,  $D$23,
  $C253&lt;$Q$7,  $D$24,
  $C253&lt;$Q$8,  $D$25,
  $C253&lt;$Q$9,  $D$26,
  $C253&lt;$Q$10,  $D$27,
  $C253&lt;$Q$11,  $D$28,
  $C253&lt;$Q$12,  $D$29,
  $C253&lt;$Q$13,  $D$30,
  $C253&lt;100,  $D$31,
)</f>
        <v>0</v>
      </c>
      <c r="N253">
        <v>4.7553183701453037</v>
      </c>
      <c r="O253">
        <v>4.4832208490364849</v>
      </c>
      <c r="P253">
        <v>6.8424023332814965</v>
      </c>
      <c r="Q253" s="129">
        <v>0.28319539709209357</v>
      </c>
      <c r="R253" s="244" cm="1">
        <f t="array" ref="R253">_xlfn.SWITCH(TRUE,
  $C253&lt;$Q$5,  $S$41*$C253+$T$41,
  $C253&lt;$Q$6,  $S$42*$C253+$T$42,
  $C253&lt;$Q$7,  $S$43*$C253+$T$43,
  $C253&lt;$Q$8, $S$44*$C253+$T$44,
  $C253&lt;$Q$9, $S$45*$C253+$T$45,
  $C253&lt;$Q$10, $S$46*$C253+$T$46,
  $C253&lt;$Q$11,  $S$47*$C253+$T$47,
  $C253&lt;$Q$12, $S$48*$C253+$T$48,
  $S$49*$C253+$T$49
)</f>
        <v>0.75818181818181807</v>
      </c>
      <c r="S253" cm="1">
        <f t="array" ref="S253">_xlfn.SWITCH(TRUE,
  $C253&lt;$Q$5,  $U$41*$C253+$V$41,
  $C253&lt;$Q$6,  $U$42*$C253+$V$42,
  $C253&lt;$Q$7,  $U$43*$C253+$V$43,
  $C253&lt;$Q$8, $U$44*$C253+$V$44,
  $C253&lt;$Q$9, $U$45*$C253+$V$45,
  $C253&lt;$Q$10, $U$46*$C253+$V$46,
  $C253&lt;$Q$11,  $U$47*$C253+$V$47,
  $C253&lt;$Q$12, $U$48*$C253+$V$48,
  $U$49*$C253+$V$49
)</f>
        <v>3.8</v>
      </c>
      <c r="T253">
        <f t="shared" si="14"/>
        <v>0</v>
      </c>
      <c r="U253">
        <f t="shared" si="15"/>
        <v>1</v>
      </c>
      <c r="V253">
        <f t="shared" si="16"/>
        <v>0</v>
      </c>
      <c r="W253">
        <f t="shared" si="17"/>
        <v>0</v>
      </c>
      <c r="X253">
        <f t="shared" si="18"/>
        <v>0</v>
      </c>
      <c r="Y253">
        <f t="shared" si="19"/>
        <v>0</v>
      </c>
      <c r="Z253">
        <v>4.2234033011895029</v>
      </c>
      <c r="AA253">
        <v>3.9387624477223868</v>
      </c>
      <c r="AB253">
        <v>6.8438388546558659</v>
      </c>
      <c r="AC253" s="129">
        <v>0.25612905987998019</v>
      </c>
      <c r="AD253" s="244" cm="1">
        <f t="array" ref="AD253">_xlfn.SWITCH(TRUE,
  $C253&lt;$Q$5,  $S$61*$C253+$T$61,
  $C253&lt;$Q$6,  $S$62*$C253+$T$62,
  $C253&lt;$Q$7,  $S$63*$C253+$T$63,
  $C253&lt;$Q$8, $S$64*$C253+$T$64,
  $C253&lt;$Q$9, $S$65*$C253+$T$65,
  $C253&lt;$Q$10, $S$66*$C253+$T$66,
  $C253&lt;$Q$11,  $S$67*$C253+$T$67,
  $C253&lt;$Q$12, $S$68*$C253+$T$68,
  $S$69*$C253+$T$69
)</f>
        <v>0.75363636363636377</v>
      </c>
      <c r="AE253" cm="1">
        <f t="array" ref="AE253">_xlfn.SWITCH(TRUE,
  $C253&lt;$Q$5,  $U$61*$C253+$V$61,
  $C253&lt;$Q$6,  $U$62*$C253+$V$62,
  $C253&lt;$Q$7,  $U$63*$C253+$V$63,
  $C253&lt;$Q$8, $U$64*$C253+$V$64,
  $C253&lt;$Q$9, $U$65*$C253+$V$65,
  $C253&lt;$Q$10, $U$66*$C253+$V$66,
  $C253&lt;$Q$11,  $U$67*$C253+$V$67,
  $C253&lt;$Q$12, $U$68*$C253+$V$68,
  $U$69*$C253+$V$69
)</f>
        <v>3.8</v>
      </c>
      <c r="AF253" cm="1">
        <f t="array" ref="AF253">_xlfn.LET(
  _xlpm.y,$C253,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3" cm="1">
        <f t="array" ref="AG253">_xlfn.LET(
  _xlpm.y,$C253,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3" cm="1">
        <f t="array" ref="AH253">_xlfn.LET(
  _xlpm.y,$C253,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3" cm="1">
        <f t="array" ref="AI253">_xlfn.LET(
  _xlpm.y,$C253,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3" cm="1">
        <f t="array" ref="AJ253">_xlfn.LET(
  _xlpm.y,$C253,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3">
        <f t="shared" si="20"/>
        <v>0</v>
      </c>
      <c r="AL253">
        <v>4.1295243716395937</v>
      </c>
      <c r="AM253">
        <v>3.6667167875287099</v>
      </c>
      <c r="AN253">
        <v>6.8440348694809821</v>
      </c>
      <c r="AO253">
        <v>0.25244147510763282</v>
      </c>
    </row>
    <row r="254" spans="2:41">
      <c r="B254">
        <f>'主翼(型紙出力)'!B97</f>
        <v>46</v>
      </c>
      <c r="C254">
        <f>INT(('主翼(型紙出力)'!C97)*1000)/1000</f>
        <v>7</v>
      </c>
      <c r="D254">
        <f>'主翼(型紙出力)'!E97</f>
        <v>0.15</v>
      </c>
      <c r="E254">
        <f>'主翼(重量推算)'!CE94</f>
        <v>1.4762548509273472</v>
      </c>
      <c r="F254" s="244" cm="1">
        <f t="array" ref="F254">_xlfn.SWITCH(TRUE,
  $C254&lt;$Q$5,  $S$22*$C254+$T$22,
  $C254&lt;$Q$6,  $S$23*$C254+$T$23,
  $C254&lt;$Q$7,  $S$24*$C254+$T$24,
  $C254&lt;$Q$8, $S$25*$C254+$T$25,
  $C254&lt;$Q$9, $S$26*$C254+$T$26,
  $C254&lt;$Q$10, $S$27*$C254+$T$27,
  $C254&lt;$Q$11,  $S$28*$C254+$T$28,
  $C254&lt;$Q$12, $S$29*$C254+$T$29,
  $S$30*$C254+$T$30
)</f>
        <v>0.83927272727272728</v>
      </c>
      <c r="G254" cm="1">
        <f t="array" ref="G254">_xlfn.SWITCH(TRUE,
  $C254&lt;$Q$5,  $U$22*$C254+$V$22,
  $C254&lt;$Q$6,  $U$23*$C254+$V$23,
  $C254&lt;$Q$7,  $U$24*$C254+$V$24,
  $C254&lt;$Q$8, $U$25*$C254+$V$25,
  $C254&lt;$Q$9, $U$26*$C254+$V$26,
  $C254&lt;$Q$10, $U$27*$C254+$V$27,
  $C254&lt;$Q$11,  $U$28*$C254+$V$28,
  $C254&lt;$Q$12, $U$29*$C254+$V$29,
  $U$30*$C254+$V$30
)</f>
        <v>3.4</v>
      </c>
      <c r="H254" cm="1">
        <f t="array" ref="H254">_xlfn.LET(
  _xlpm.y,$C254,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4" cm="1">
        <f t="array" ref="I254">_xlfn.LET(
  _xlpm.y,$C254,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4" cm="1">
        <f t="array" ref="J254">_xlfn.LET(
  _xlpm.y,$C254,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4" cm="1">
        <f t="array" ref="K254">_xlfn.LET(
  _xlpm.y,$C254,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4" cm="1">
        <f t="array" ref="L254">_xlfn.LET(
  _xlpm.y,$C254,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4" cm="1">
        <f t="array" ref="M254">_xlfn.SWITCH(TRUE,
  $C254&lt;$Q$5,  $D$22,
  $C254&lt;$Q$6,  $D$23,
  $C254&lt;$Q$7,  $D$24,
  $C254&lt;$Q$8,  $D$25,
  $C254&lt;$Q$9,  $D$26,
  $C254&lt;$Q$10,  $D$27,
  $C254&lt;$Q$11,  $D$28,
  $C254&lt;$Q$12,  $D$29,
  $C254&lt;$Q$13,  $D$30,
  $C254&lt;100,  $D$31,
)</f>
        <v>0</v>
      </c>
      <c r="N254">
        <v>4.8584695227388472</v>
      </c>
      <c r="O254">
        <v>4.4231151598709246</v>
      </c>
      <c r="P254">
        <v>6.9918860050353677</v>
      </c>
      <c r="Q254" s="129">
        <v>0.29563050380578393</v>
      </c>
      <c r="R254" s="244" cm="1">
        <f t="array" ref="R254">_xlfn.SWITCH(TRUE,
  $C254&lt;$Q$5,  $S$41*$C254+$T$41,
  $C254&lt;$Q$6,  $S$42*$C254+$T$42,
  $C254&lt;$Q$7,  $S$43*$C254+$T$43,
  $C254&lt;$Q$8, $S$44*$C254+$T$44,
  $C254&lt;$Q$9, $S$45*$C254+$T$45,
  $C254&lt;$Q$10, $S$46*$C254+$T$46,
  $C254&lt;$Q$11,  $S$47*$C254+$T$47,
  $C254&lt;$Q$12, $S$48*$C254+$T$48,
  $S$49*$C254+$T$49
)</f>
        <v>0.7505454545454544</v>
      </c>
      <c r="S254" cm="1">
        <f t="array" ref="S254">_xlfn.SWITCH(TRUE,
  $C254&lt;$Q$5,  $U$41*$C254+$V$41,
  $C254&lt;$Q$6,  $U$42*$C254+$V$42,
  $C254&lt;$Q$7,  $U$43*$C254+$V$43,
  $C254&lt;$Q$8, $U$44*$C254+$V$44,
  $C254&lt;$Q$9, $U$45*$C254+$V$45,
  $C254&lt;$Q$10, $U$46*$C254+$V$46,
  $C254&lt;$Q$11,  $U$47*$C254+$V$47,
  $C254&lt;$Q$12, $U$48*$C254+$V$48,
  $U$49*$C254+$V$49
)</f>
        <v>3.8</v>
      </c>
      <c r="T254">
        <f t="shared" si="14"/>
        <v>0</v>
      </c>
      <c r="U254">
        <f t="shared" si="15"/>
        <v>1</v>
      </c>
      <c r="V254">
        <f t="shared" si="16"/>
        <v>0</v>
      </c>
      <c r="W254">
        <f t="shared" si="17"/>
        <v>0</v>
      </c>
      <c r="X254">
        <f t="shared" si="18"/>
        <v>0</v>
      </c>
      <c r="Y254">
        <f t="shared" si="19"/>
        <v>0</v>
      </c>
      <c r="Z254">
        <v>4.3098676708717445</v>
      </c>
      <c r="AA254">
        <v>3.8770338631365773</v>
      </c>
      <c r="AB254">
        <v>6.9934315264776998</v>
      </c>
      <c r="AC254" s="129">
        <v>0.26717589368904382</v>
      </c>
      <c r="AD254" s="244" cm="1">
        <f t="array" ref="AD254">_xlfn.SWITCH(TRUE,
  $C254&lt;$Q$5,  $S$61*$C254+$T$61,
  $C254&lt;$Q$6,  $S$62*$C254+$T$62,
  $C254&lt;$Q$7,  $S$63*$C254+$T$63,
  $C254&lt;$Q$8, $S$64*$C254+$T$64,
  $C254&lt;$Q$9, $S$65*$C254+$T$65,
  $C254&lt;$Q$10, $S$66*$C254+$T$66,
  $C254&lt;$Q$11,  $S$67*$C254+$T$67,
  $C254&lt;$Q$12, $S$68*$C254+$T$68,
  $S$69*$C254+$T$69
)</f>
        <v>0.74490909090909097</v>
      </c>
      <c r="AE254" cm="1">
        <f t="array" ref="AE254">_xlfn.SWITCH(TRUE,
  $C254&lt;$Q$5,  $U$61*$C254+$V$61,
  $C254&lt;$Q$6,  $U$62*$C254+$V$62,
  $C254&lt;$Q$7,  $U$63*$C254+$V$63,
  $C254&lt;$Q$8, $U$64*$C254+$V$64,
  $C254&lt;$Q$9, $U$65*$C254+$V$65,
  $C254&lt;$Q$10, $U$66*$C254+$V$66,
  $C254&lt;$Q$11,  $U$67*$C254+$V$67,
  $C254&lt;$Q$12, $U$68*$C254+$V$68,
  $U$69*$C254+$V$69
)</f>
        <v>3.8</v>
      </c>
      <c r="AF254" cm="1">
        <f t="array" ref="AF254">_xlfn.LET(
  _xlpm.y,$C254,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4" cm="1">
        <f t="array" ref="AG254">_xlfn.LET(
  _xlpm.y,$C254,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4" cm="1">
        <f t="array" ref="AH254">_xlfn.LET(
  _xlpm.y,$C254,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4" cm="1">
        <f t="array" ref="AI254">_xlfn.LET(
  _xlpm.y,$C254,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4" cm="1">
        <f t="array" ref="AJ254">_xlfn.LET(
  _xlpm.y,$C254,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4">
        <f t="shared" si="20"/>
        <v>0</v>
      </c>
      <c r="AL254">
        <v>4.2113546561110624</v>
      </c>
      <c r="AM254">
        <v>3.6125904823642885</v>
      </c>
      <c r="AN254">
        <v>6.9936454406888808</v>
      </c>
      <c r="AO254">
        <v>0.26324318714074435</v>
      </c>
    </row>
    <row r="255" spans="2:41">
      <c r="B255">
        <f>'主翼(型紙出力)'!B98</f>
        <v>47</v>
      </c>
      <c r="C255">
        <f>INT(('主翼(型紙出力)'!C98)*1000)/1000</f>
        <v>7.15</v>
      </c>
      <c r="D255">
        <f>'主翼(型紙出力)'!E98</f>
        <v>0.15</v>
      </c>
      <c r="E255">
        <f>'主翼(重量推算)'!CE95</f>
        <v>1.4883540605367462</v>
      </c>
      <c r="F255" s="244" cm="1">
        <f t="array" ref="F255">_xlfn.SWITCH(TRUE,
  $C255&lt;$Q$5,  $S$22*$C255+$T$22,
  $C255&lt;$Q$6,  $S$23*$C255+$T$23,
  $C255&lt;$Q$7,  $S$24*$C255+$T$24,
  $C255&lt;$Q$8, $S$25*$C255+$T$25,
  $C255&lt;$Q$9, $S$26*$C255+$T$26,
  $C255&lt;$Q$10, $S$27*$C255+$T$27,
  $C255&lt;$Q$11,  $S$28*$C255+$T$28,
  $C255&lt;$Q$12, $S$29*$C255+$T$29,
  $S$30*$C255+$T$30
)</f>
        <v>0.82945454545454544</v>
      </c>
      <c r="G255" cm="1">
        <f t="array" ref="G255">_xlfn.SWITCH(TRUE,
  $C255&lt;$Q$5,  $U$22*$C255+$V$22,
  $C255&lt;$Q$6,  $U$23*$C255+$V$23,
  $C255&lt;$Q$7,  $U$24*$C255+$V$24,
  $C255&lt;$Q$8, $U$25*$C255+$V$25,
  $C255&lt;$Q$9, $U$26*$C255+$V$26,
  $C255&lt;$Q$10, $U$27*$C255+$V$27,
  $C255&lt;$Q$11,  $U$28*$C255+$V$28,
  $C255&lt;$Q$12, $U$29*$C255+$V$29,
  $U$30*$C255+$V$30
)</f>
        <v>3.4</v>
      </c>
      <c r="H255" cm="1">
        <f t="array" ref="H255">_xlfn.LET(
  _xlpm.y,$C255,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5" cm="1">
        <f t="array" ref="I255">_xlfn.LET(
  _xlpm.y,$C255,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5" cm="1">
        <f t="array" ref="J255">_xlfn.LET(
  _xlpm.y,$C255,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5" cm="1">
        <f t="array" ref="K255">_xlfn.LET(
  _xlpm.y,$C255,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5" cm="1">
        <f t="array" ref="L255">_xlfn.LET(
  _xlpm.y,$C255,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5" cm="1">
        <f t="array" ref="M255">_xlfn.SWITCH(TRUE,
  $C255&lt;$Q$5,  $D$22,
  $C255&lt;$Q$6,  $D$23,
  $C255&lt;$Q$7,  $D$24,
  $C255&lt;$Q$8,  $D$25,
  $C255&lt;$Q$9,  $D$26,
  $C255&lt;$Q$10,  $D$27,
  $C255&lt;$Q$11,  $D$28,
  $C255&lt;$Q$12,  $D$29,
  $C255&lt;$Q$13,  $D$30,
  $C255&lt;100,  $D$31,
)</f>
        <v>0</v>
      </c>
      <c r="N255">
        <v>4.9606125564945831</v>
      </c>
      <c r="O255">
        <v>4.3626008294768406</v>
      </c>
      <c r="P255">
        <v>7.1413470472884422</v>
      </c>
      <c r="Q255" s="129">
        <v>0.30833470974809551</v>
      </c>
      <c r="R255" s="244" cm="1">
        <f t="array" ref="R255">_xlfn.SWITCH(TRUE,
  $C255&lt;$Q$5,  $S$41*$C255+$T$41,
  $C255&lt;$Q$6,  $S$42*$C255+$T$42,
  $C255&lt;$Q$7,  $S$43*$C255+$T$43,
  $C255&lt;$Q$8, $S$44*$C255+$T$44,
  $C255&lt;$Q$9, $S$45*$C255+$T$45,
  $C255&lt;$Q$10, $S$46*$C255+$T$46,
  $C255&lt;$Q$11,  $S$47*$C255+$T$47,
  $C255&lt;$Q$12, $S$48*$C255+$T$48,
  $S$49*$C255+$T$49
)</f>
        <v>0.74290909090909074</v>
      </c>
      <c r="S255" cm="1">
        <f t="array" ref="S255">_xlfn.SWITCH(TRUE,
  $C255&lt;$Q$5,  $U$41*$C255+$V$41,
  $C255&lt;$Q$6,  $U$42*$C255+$V$42,
  $C255&lt;$Q$7,  $U$43*$C255+$V$43,
  $C255&lt;$Q$8, $U$44*$C255+$V$44,
  $C255&lt;$Q$9, $U$45*$C255+$V$45,
  $C255&lt;$Q$10, $U$46*$C255+$V$46,
  $C255&lt;$Q$11,  $U$47*$C255+$V$47,
  $C255&lt;$Q$12, $U$48*$C255+$V$48,
  $U$49*$C255+$V$49
)</f>
        <v>3.8</v>
      </c>
      <c r="T255">
        <f t="shared" si="14"/>
        <v>0</v>
      </c>
      <c r="U255">
        <f t="shared" si="15"/>
        <v>1</v>
      </c>
      <c r="V255">
        <f t="shared" si="16"/>
        <v>0</v>
      </c>
      <c r="W255">
        <f t="shared" si="17"/>
        <v>0</v>
      </c>
      <c r="X255">
        <f t="shared" si="18"/>
        <v>0</v>
      </c>
      <c r="Y255">
        <f t="shared" si="19"/>
        <v>0</v>
      </c>
      <c r="Z255">
        <v>4.395230920951338</v>
      </c>
      <c r="AA255">
        <v>3.8146970382233514</v>
      </c>
      <c r="AB255">
        <v>7.1430073573250885</v>
      </c>
      <c r="AC255" s="129">
        <v>0.27844846333014422</v>
      </c>
      <c r="AD255" s="244" cm="1">
        <f t="array" ref="AD255">_xlfn.SWITCH(TRUE,
  $C255&lt;$Q$5,  $S$61*$C255+$T$61,
  $C255&lt;$Q$6,  $S$62*$C255+$T$62,
  $C255&lt;$Q$7,  $S$63*$C255+$T$63,
  $C255&lt;$Q$8, $S$64*$C255+$T$64,
  $C255&lt;$Q$9, $S$65*$C255+$T$65,
  $C255&lt;$Q$10, $S$66*$C255+$T$66,
  $C255&lt;$Q$11,  $S$67*$C255+$T$67,
  $C255&lt;$Q$12, $S$68*$C255+$T$68,
  $S$69*$C255+$T$69
)</f>
        <v>0.73618181818181827</v>
      </c>
      <c r="AE255" cm="1">
        <f t="array" ref="AE255">_xlfn.SWITCH(TRUE,
  $C255&lt;$Q$5,  $U$61*$C255+$V$61,
  $C255&lt;$Q$6,  $U$62*$C255+$V$62,
  $C255&lt;$Q$7,  $U$63*$C255+$V$63,
  $C255&lt;$Q$8, $U$64*$C255+$V$64,
  $C255&lt;$Q$9, $U$65*$C255+$V$65,
  $C255&lt;$Q$10, $U$66*$C255+$V$66,
  $C255&lt;$Q$11,  $U$67*$C255+$V$67,
  $C255&lt;$Q$12, $U$68*$C255+$V$68,
  $U$69*$C255+$V$69
)</f>
        <v>3.8</v>
      </c>
      <c r="AF255" cm="1">
        <f t="array" ref="AF255">_xlfn.LET(
  _xlpm.y,$C255,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5" cm="1">
        <f t="array" ref="AG255">_xlfn.LET(
  _xlpm.y,$C255,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5" cm="1">
        <f t="array" ref="AH255">_xlfn.LET(
  _xlpm.y,$C255,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5" cm="1">
        <f t="array" ref="AI255">_xlfn.LET(
  _xlpm.y,$C255,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5" cm="1">
        <f t="array" ref="AJ255">_xlfn.LET(
  _xlpm.y,$C255,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5">
        <f t="shared" si="20"/>
        <v>0</v>
      </c>
      <c r="AL255">
        <v>4.2919060646270992</v>
      </c>
      <c r="AM255">
        <v>3.5575189719040243</v>
      </c>
      <c r="AN255">
        <v>7.143240432225519</v>
      </c>
      <c r="AO255">
        <v>0.27425856308317648</v>
      </c>
    </row>
    <row r="256" spans="2:41">
      <c r="B256">
        <f>'主翼(型紙出力)'!B99</f>
        <v>48</v>
      </c>
      <c r="C256">
        <f>INT(('主翼(型紙出力)'!C99)*1000)/1000</f>
        <v>7.3</v>
      </c>
      <c r="D256">
        <f>'主翼(型紙出力)'!E99</f>
        <v>0.15</v>
      </c>
      <c r="E256">
        <f>'主翼(重量推算)'!CE96</f>
        <v>1.4330252282169205</v>
      </c>
      <c r="F256" s="244" cm="1">
        <f t="array" ref="F256">_xlfn.SWITCH(TRUE,
  $C256&lt;$Q$5,  $S$22*$C256+$T$22,
  $C256&lt;$Q$6,  $S$23*$C256+$T$23,
  $C256&lt;$Q$7,  $S$24*$C256+$T$24,
  $C256&lt;$Q$8, $S$25*$C256+$T$25,
  $C256&lt;$Q$9, $S$26*$C256+$T$26,
  $C256&lt;$Q$10, $S$27*$C256+$T$27,
  $C256&lt;$Q$11,  $S$28*$C256+$T$28,
  $C256&lt;$Q$12, $S$29*$C256+$T$29,
  $S$30*$C256+$T$30
)</f>
        <v>0.81963636363636372</v>
      </c>
      <c r="G256" cm="1">
        <f t="array" ref="G256">_xlfn.SWITCH(TRUE,
  $C256&lt;$Q$5,  $U$22*$C256+$V$22,
  $C256&lt;$Q$6,  $U$23*$C256+$V$23,
  $C256&lt;$Q$7,  $U$24*$C256+$V$24,
  $C256&lt;$Q$8, $U$25*$C256+$V$25,
  $C256&lt;$Q$9, $U$26*$C256+$V$26,
  $C256&lt;$Q$10, $U$27*$C256+$V$27,
  $C256&lt;$Q$11,  $U$28*$C256+$V$28,
  $C256&lt;$Q$12, $U$29*$C256+$V$29,
  $U$30*$C256+$V$30
)</f>
        <v>3.4</v>
      </c>
      <c r="H256" cm="1">
        <f t="array" ref="H256">_xlfn.LET(
  _xlpm.y,$C256,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6" cm="1">
        <f t="array" ref="I256">_xlfn.LET(
  _xlpm.y,$C256,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6" cm="1">
        <f t="array" ref="J256">_xlfn.LET(
  _xlpm.y,$C256,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6" cm="1">
        <f t="array" ref="K256">_xlfn.LET(
  _xlpm.y,$C256,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6" cm="1">
        <f t="array" ref="L256">_xlfn.LET(
  _xlpm.y,$C256,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6" cm="1">
        <f t="array" ref="M256">_xlfn.SWITCH(TRUE,
  $C256&lt;$Q$5,  $D$22,
  $C256&lt;$Q$6,  $D$23,
  $C256&lt;$Q$7,  $D$24,
  $C256&lt;$Q$8,  $D$25,
  $C256&lt;$Q$9,  $D$26,
  $C256&lt;$Q$10,  $D$27,
  $C256&lt;$Q$11,  $D$28,
  $C256&lt;$Q$12,  $D$29,
  $C256&lt;$Q$13,  $D$30,
  $C256&lt;100,  $D$31,
)</f>
        <v>0</v>
      </c>
      <c r="N256">
        <v>5.0617189441061807</v>
      </c>
      <c r="O256">
        <v>4.3017350997562334</v>
      </c>
      <c r="P256">
        <v>7.29078520385234</v>
      </c>
      <c r="Q256" s="129">
        <v>0.321305344381138</v>
      </c>
      <c r="R256" s="244" cm="1">
        <f t="array" ref="R256">_xlfn.SWITCH(TRUE,
  $C256&lt;$Q$5,  $S$41*$C256+$T$41,
  $C256&lt;$Q$6,  $S$42*$C256+$T$42,
  $C256&lt;$Q$7,  $S$43*$C256+$T$43,
  $C256&lt;$Q$8, $S$44*$C256+$T$44,
  $C256&lt;$Q$9, $S$45*$C256+$T$45,
  $C256&lt;$Q$10, $S$46*$C256+$T$46,
  $C256&lt;$Q$11,  $S$47*$C256+$T$47,
  $C256&lt;$Q$12, $S$48*$C256+$T$48,
  $S$49*$C256+$T$49
)</f>
        <v>0.73527272727272708</v>
      </c>
      <c r="S256" cm="1">
        <f t="array" ref="S256">_xlfn.SWITCH(TRUE,
  $C256&lt;$Q$5,  $U$41*$C256+$V$41,
  $C256&lt;$Q$6,  $U$42*$C256+$V$42,
  $C256&lt;$Q$7,  $U$43*$C256+$V$43,
  $C256&lt;$Q$8, $U$44*$C256+$V$44,
  $C256&lt;$Q$9, $U$45*$C256+$V$45,
  $C256&lt;$Q$10, $U$46*$C256+$V$46,
  $C256&lt;$Q$11,  $U$47*$C256+$V$47,
  $C256&lt;$Q$12, $U$48*$C256+$V$48,
  $U$49*$C256+$V$49
)</f>
        <v>3.8</v>
      </c>
      <c r="T256">
        <f t="shared" si="14"/>
        <v>0</v>
      </c>
      <c r="U256">
        <f t="shared" si="15"/>
        <v>1</v>
      </c>
      <c r="V256">
        <f t="shared" si="16"/>
        <v>0</v>
      </c>
      <c r="W256">
        <f t="shared" si="17"/>
        <v>0</v>
      </c>
      <c r="X256">
        <f t="shared" si="18"/>
        <v>0</v>
      </c>
      <c r="Y256">
        <f t="shared" si="19"/>
        <v>0</v>
      </c>
      <c r="Z256">
        <v>4.4794823484208486</v>
      </c>
      <c r="AA256">
        <v>3.7517418297203502</v>
      </c>
      <c r="AB256">
        <v>7.2925662275103074</v>
      </c>
      <c r="AC256" s="129">
        <v>0.28994386888718926</v>
      </c>
      <c r="AD256" s="244" cm="1">
        <f t="array" ref="AD256">_xlfn.SWITCH(TRUE,
  $C256&lt;$Q$5,  $S$61*$C256+$T$61,
  $C256&lt;$Q$6,  $S$62*$C256+$T$62,
  $C256&lt;$Q$7,  $S$63*$C256+$T$63,
  $C256&lt;$Q$8, $S$64*$C256+$T$64,
  $C256&lt;$Q$9, $S$65*$C256+$T$65,
  $C256&lt;$Q$10, $S$66*$C256+$T$66,
  $C256&lt;$Q$11,  $S$67*$C256+$T$67,
  $C256&lt;$Q$12, $S$68*$C256+$T$68,
  $S$69*$C256+$T$69
)</f>
        <v>0.72745454545454558</v>
      </c>
      <c r="AE256" cm="1">
        <f t="array" ref="AE256">_xlfn.SWITCH(TRUE,
  $C256&lt;$Q$5,  $U$61*$C256+$V$61,
  $C256&lt;$Q$6,  $U$62*$C256+$V$62,
  $C256&lt;$Q$7,  $U$63*$C256+$V$63,
  $C256&lt;$Q$8, $U$64*$C256+$V$64,
  $C256&lt;$Q$9, $U$65*$C256+$V$65,
  $C256&lt;$Q$10, $U$66*$C256+$V$66,
  $C256&lt;$Q$11,  $U$67*$C256+$V$67,
  $C256&lt;$Q$12, $U$68*$C256+$V$68,
  $U$69*$C256+$V$69
)</f>
        <v>3.8</v>
      </c>
      <c r="AF256" cm="1">
        <f t="array" ref="AF256">_xlfn.LET(
  _xlpm.y,$C256,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6" cm="1">
        <f t="array" ref="AG256">_xlfn.LET(
  _xlpm.y,$C256,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6" cm="1">
        <f t="array" ref="AH256">_xlfn.LET(
  _xlpm.y,$C256,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6" cm="1">
        <f t="array" ref="AI256">_xlfn.LET(
  _xlpm.y,$C256,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6" cm="1">
        <f t="array" ref="AJ256">_xlfn.LET(
  _xlpm.y,$C256,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6">
        <f t="shared" si="20"/>
        <v>0</v>
      </c>
      <c r="AL256">
        <v>4.3711527800880248</v>
      </c>
      <c r="AM256">
        <v>3.5014326126118624</v>
      </c>
      <c r="AN256">
        <v>7.2928197895515101</v>
      </c>
      <c r="AO256">
        <v>0.28548424176838377</v>
      </c>
    </row>
    <row r="257" spans="2:41">
      <c r="B257">
        <f>'主翼(型紙出力)'!B100</f>
        <v>49</v>
      </c>
      <c r="C257">
        <f>INT(('主翼(型紙出力)'!C100)*1000)/1000</f>
        <v>7.45</v>
      </c>
      <c r="D257">
        <f>'主翼(型紙出力)'!E100</f>
        <v>0.15</v>
      </c>
      <c r="E257">
        <f>'主翼(重量推算)'!CE97</f>
        <v>1.4437010567441459</v>
      </c>
      <c r="F257" s="244" cm="1">
        <f t="array" ref="F257">_xlfn.SWITCH(TRUE,
  $C257&lt;$Q$5,  $S$22*$C257+$T$22,
  $C257&lt;$Q$6,  $S$23*$C257+$T$23,
  $C257&lt;$Q$7,  $S$24*$C257+$T$24,
  $C257&lt;$Q$8, $S$25*$C257+$T$25,
  $C257&lt;$Q$9, $S$26*$C257+$T$26,
  $C257&lt;$Q$10, $S$27*$C257+$T$27,
  $C257&lt;$Q$11,  $S$28*$C257+$T$28,
  $C257&lt;$Q$12, $S$29*$C257+$T$29,
  $S$30*$C257+$T$30
)</f>
        <v>0.80981818181818177</v>
      </c>
      <c r="G257" cm="1">
        <f t="array" ref="G257">_xlfn.SWITCH(TRUE,
  $C257&lt;$Q$5,  $U$22*$C257+$V$22,
  $C257&lt;$Q$6,  $U$23*$C257+$V$23,
  $C257&lt;$Q$7,  $U$24*$C257+$V$24,
  $C257&lt;$Q$8, $U$25*$C257+$V$25,
  $C257&lt;$Q$9, $U$26*$C257+$V$26,
  $C257&lt;$Q$10, $U$27*$C257+$V$27,
  $C257&lt;$Q$11,  $U$28*$C257+$V$28,
  $C257&lt;$Q$12, $U$29*$C257+$V$29,
  $U$30*$C257+$V$30
)</f>
        <v>3.4</v>
      </c>
      <c r="H257" cm="1">
        <f t="array" ref="H257">_xlfn.LET(
  _xlpm.y,$C257,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7" cm="1">
        <f t="array" ref="I257">_xlfn.LET(
  _xlpm.y,$C257,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7" cm="1">
        <f t="array" ref="J257">_xlfn.LET(
  _xlpm.y,$C257,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7" cm="1">
        <f t="array" ref="K257">_xlfn.LET(
  _xlpm.y,$C257,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7" cm="1">
        <f t="array" ref="L257">_xlfn.LET(
  _xlpm.y,$C257,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7" cm="1">
        <f t="array" ref="M257">_xlfn.SWITCH(TRUE,
  $C257&lt;$Q$5,  $D$22,
  $C257&lt;$Q$6,  $D$23,
  $C257&lt;$Q$7,  $D$24,
  $C257&lt;$Q$8,  $D$25,
  $C257&lt;$Q$9,  $D$26,
  $C257&lt;$Q$10,  $D$27,
  $C257&lt;$Q$11,  $D$28,
  $C257&lt;$Q$12,  $D$29,
  $C257&lt;$Q$13,  $D$30,
  $C257&lt;100,  $D$31,
)</f>
        <v>0</v>
      </c>
      <c r="N257">
        <v>8.1617328194387344</v>
      </c>
      <c r="O257">
        <v>4.2407519552340478</v>
      </c>
      <c r="P257">
        <v>7.4402002392641693</v>
      </c>
      <c r="Q257" s="129">
        <v>0.3345396631351103</v>
      </c>
      <c r="R257" s="244" cm="1">
        <f t="array" ref="R257">_xlfn.SWITCH(TRUE,
  $C257&lt;$Q$5,  $S$41*$C257+$T$41,
  $C257&lt;$Q$6,  $S$42*$C257+$T$42,
  $C257&lt;$Q$7,  $S$43*$C257+$T$43,
  $C257&lt;$Q$8, $S$44*$C257+$T$44,
  $C257&lt;$Q$9, $S$45*$C257+$T$45,
  $C257&lt;$Q$10, $S$46*$C257+$T$46,
  $C257&lt;$Q$11,  $S$47*$C257+$T$47,
  $C257&lt;$Q$12, $S$48*$C257+$T$48,
  $S$49*$C257+$T$49
)</f>
        <v>0.72763636363636341</v>
      </c>
      <c r="S257" cm="1">
        <f t="array" ref="S257">_xlfn.SWITCH(TRUE,
  $C257&lt;$Q$5,  $U$41*$C257+$V$41,
  $C257&lt;$Q$6,  $U$42*$C257+$V$42,
  $C257&lt;$Q$7,  $U$43*$C257+$V$43,
  $C257&lt;$Q$8, $U$44*$C257+$V$44,
  $C257&lt;$Q$9, $U$45*$C257+$V$45,
  $C257&lt;$Q$10, $U$46*$C257+$V$46,
  $C257&lt;$Q$11,  $U$47*$C257+$V$47,
  $C257&lt;$Q$12, $U$48*$C257+$V$48,
  $U$49*$C257+$V$49
)</f>
        <v>3.8</v>
      </c>
      <c r="T257">
        <f t="shared" si="14"/>
        <v>0</v>
      </c>
      <c r="U257">
        <f t="shared" si="15"/>
        <v>1</v>
      </c>
      <c r="V257">
        <f t="shared" si="16"/>
        <v>0</v>
      </c>
      <c r="W257">
        <f t="shared" si="17"/>
        <v>0</v>
      </c>
      <c r="X257">
        <f t="shared" si="18"/>
        <v>0</v>
      </c>
      <c r="Y257">
        <f t="shared" si="19"/>
        <v>0</v>
      </c>
      <c r="Z257">
        <v>7.5625910526878695</v>
      </c>
      <c r="AA257">
        <v>3.6883325330493144</v>
      </c>
      <c r="AB257">
        <v>7.4421080324192257</v>
      </c>
      <c r="AC257" s="129">
        <v>0.30165918299237365</v>
      </c>
      <c r="AD257" s="244" cm="1">
        <f t="array" ref="AD257">_xlfn.SWITCH(TRUE,
  $C257&lt;$Q$5,  $S$61*$C257+$T$61,
  $C257&lt;$Q$6,  $S$62*$C257+$T$62,
  $C257&lt;$Q$7,  $S$63*$C257+$T$63,
  $C257&lt;$Q$8, $S$64*$C257+$T$64,
  $C257&lt;$Q$9, $S$65*$C257+$T$65,
  $C257&lt;$Q$10, $S$66*$C257+$T$66,
  $C257&lt;$Q$11,  $S$67*$C257+$T$67,
  $C257&lt;$Q$12, $S$68*$C257+$T$68,
  $S$69*$C257+$T$69
)</f>
        <v>0.71872727272727288</v>
      </c>
      <c r="AE257" cm="1">
        <f t="array" ref="AE257">_xlfn.SWITCH(TRUE,
  $C257&lt;$Q$5,  $U$61*$C257+$V$61,
  $C257&lt;$Q$6,  $U$62*$C257+$V$62,
  $C257&lt;$Q$7,  $U$63*$C257+$V$63,
  $C257&lt;$Q$8, $U$64*$C257+$V$64,
  $C257&lt;$Q$9, $U$65*$C257+$V$65,
  $C257&lt;$Q$10, $U$66*$C257+$V$66,
  $C257&lt;$Q$11,  $U$67*$C257+$V$67,
  $C257&lt;$Q$12, $U$68*$C257+$V$68,
  $U$69*$C257+$V$69
)</f>
        <v>3.8</v>
      </c>
      <c r="AF257" cm="1">
        <f t="array" ref="AF257">_xlfn.LET(
  _xlpm.y,$C257,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7" cm="1">
        <f t="array" ref="AG257">_xlfn.LET(
  _xlpm.y,$C257,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7" cm="1">
        <f t="array" ref="AH257">_xlfn.LET(
  _xlpm.y,$C257,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7" cm="1">
        <f t="array" ref="AI257">_xlfn.LET(
  _xlpm.y,$C257,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7" cm="1">
        <f t="array" ref="AJ257">_xlfn.LET(
  _xlpm.y,$C257,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7">
        <f t="shared" si="20"/>
        <v>0</v>
      </c>
      <c r="AL257">
        <v>7.4490472045898031</v>
      </c>
      <c r="AM257">
        <v>3.4444193660420046</v>
      </c>
      <c r="AN257">
        <v>7.4423834773920667</v>
      </c>
      <c r="AO257">
        <v>0.29691679526848197</v>
      </c>
    </row>
    <row r="258" spans="2:41">
      <c r="B258">
        <f>'主翼(型紙出力)'!B101</f>
        <v>50</v>
      </c>
      <c r="C258">
        <f>INT(('主翼(型紙出力)'!C101)*1000)/1000</f>
        <v>7.6</v>
      </c>
      <c r="D258">
        <f>'主翼(型紙出力)'!E101</f>
        <v>0.15</v>
      </c>
      <c r="E258">
        <f>'主翼(重量推算)'!CE98</f>
        <v>1.4214287806062631</v>
      </c>
      <c r="F258" s="244" cm="1">
        <f t="array" ref="F258">_xlfn.SWITCH(TRUE,
  $C258&lt;$Q$5,  $S$22*$C258+$T$22,
  $C258&lt;$Q$6,  $S$23*$C258+$T$23,
  $C258&lt;$Q$7,  $S$24*$C258+$T$24,
  $C258&lt;$Q$8, $S$25*$C258+$T$25,
  $C258&lt;$Q$9, $S$26*$C258+$T$26,
  $C258&lt;$Q$10, $S$27*$C258+$T$27,
  $C258&lt;$Q$11,  $S$28*$C258+$T$28,
  $C258&lt;$Q$12, $S$29*$C258+$T$29,
  $S$30*$C258+$T$30
)</f>
        <v>0.79999999999999982</v>
      </c>
      <c r="G258" cm="1">
        <f t="array" ref="G258">_xlfn.SWITCH(TRUE,
  $C258&lt;$Q$5,  $U$22*$C258+$V$22,
  $C258&lt;$Q$6,  $U$23*$C258+$V$23,
  $C258&lt;$Q$7,  $U$24*$C258+$V$24,
  $C258&lt;$Q$8, $U$25*$C258+$V$25,
  $C258&lt;$Q$9, $U$26*$C258+$V$26,
  $C258&lt;$Q$10, $U$27*$C258+$V$27,
  $C258&lt;$Q$11,  $U$28*$C258+$V$28,
  $C258&lt;$Q$12, $U$29*$C258+$V$29,
  $U$30*$C258+$V$30
)</f>
        <v>3.4</v>
      </c>
      <c r="H258" cm="1">
        <f t="array" ref="H258">_xlfn.LET(
  _xlpm.y,$C258,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8" cm="1">
        <f t="array" ref="I258">_xlfn.LET(
  _xlpm.y,$C258,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8" cm="1">
        <f t="array" ref="J258">_xlfn.LET(
  _xlpm.y,$C258,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8" cm="1">
        <f t="array" ref="K258">_xlfn.LET(
  _xlpm.y,$C258,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8" cm="1">
        <f t="array" ref="L258">_xlfn.LET(
  _xlpm.y,$C258,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8" cm="1">
        <f t="array" ref="M258">_xlfn.SWITCH(TRUE,
  $C258&lt;$Q$5,  $D$22,
  $C258&lt;$Q$6,  $D$23,
  $C258&lt;$Q$7,  $D$24,
  $C258&lt;$Q$8,  $D$25,
  $C258&lt;$Q$9,  $D$26,
  $C258&lt;$Q$10,  $D$27,
  $C258&lt;$Q$11,  $D$28,
  $C258&lt;$Q$12,  $D$29,
  $C258&lt;$Q$13,  $D$30,
  $C258&lt;100,  $D$31,
)</f>
        <v>6</v>
      </c>
      <c r="N258">
        <v>11.260575132391402</v>
      </c>
      <c r="O258">
        <v>4.1799667892181169</v>
      </c>
      <c r="P258">
        <v>7.5886809298150402</v>
      </c>
      <c r="Q258" s="129">
        <v>0.35583483943249222</v>
      </c>
      <c r="R258" s="244" cm="1">
        <f t="array" ref="R258">_xlfn.SWITCH(TRUE,
  $C258&lt;$Q$5,  $S$41*$C258+$T$41,
  $C258&lt;$Q$6,  $S$42*$C258+$T$42,
  $C258&lt;$Q$7,  $S$43*$C258+$T$43,
  $C258&lt;$Q$8, $S$44*$C258+$T$44,
  $C258&lt;$Q$9, $S$45*$C258+$T$45,
  $C258&lt;$Q$10, $S$46*$C258+$T$46,
  $C258&lt;$Q$11,  $S$47*$C258+$T$47,
  $C258&lt;$Q$12, $S$48*$C258+$T$48,
  $S$49*$C258+$T$49
)</f>
        <v>0.71999999999999975</v>
      </c>
      <c r="S258" cm="1">
        <f t="array" ref="S258">_xlfn.SWITCH(TRUE,
  $C258&lt;$Q$5,  $U$41*$C258+$V$41,
  $C258&lt;$Q$6,  $U$42*$C258+$V$42,
  $C258&lt;$Q$7,  $U$43*$C258+$V$43,
  $C258&lt;$Q$8, $U$44*$C258+$V$44,
  $C258&lt;$Q$9, $U$45*$C258+$V$45,
  $C258&lt;$Q$10, $U$46*$C258+$V$46,
  $C258&lt;$Q$11,  $U$47*$C258+$V$47,
  $C258&lt;$Q$12, $U$48*$C258+$V$48,
  $U$49*$C258+$V$49
)</f>
        <v>3.8</v>
      </c>
      <c r="T258">
        <f t="shared" si="14"/>
        <v>0</v>
      </c>
      <c r="U258">
        <f t="shared" si="15"/>
        <v>1</v>
      </c>
      <c r="V258">
        <f t="shared" si="16"/>
        <v>0</v>
      </c>
      <c r="W258">
        <f t="shared" si="17"/>
        <v>0</v>
      </c>
      <c r="X258">
        <f t="shared" si="18"/>
        <v>0</v>
      </c>
      <c r="Y258">
        <f t="shared" si="19"/>
        <v>6</v>
      </c>
      <c r="Z258">
        <v>10.644509376139071</v>
      </c>
      <c r="AA258">
        <v>3.624730800285088</v>
      </c>
      <c r="AB258">
        <v>7.5908032844791844</v>
      </c>
      <c r="AC258" s="129">
        <v>0.32140056123264044</v>
      </c>
      <c r="AD258" s="244" cm="1">
        <f t="array" ref="AD258">_xlfn.SWITCH(TRUE,
  $C258&lt;$Q$5,  $S$61*$C258+$T$61,
  $C258&lt;$Q$6,  $S$62*$C258+$T$62,
  $C258&lt;$Q$7,  $S$63*$C258+$T$63,
  $C258&lt;$Q$8, $S$64*$C258+$T$64,
  $C258&lt;$Q$9, $S$65*$C258+$T$65,
  $C258&lt;$Q$10, $S$66*$C258+$T$66,
  $C258&lt;$Q$11,  $S$67*$C258+$T$67,
  $C258&lt;$Q$12, $S$68*$C258+$T$68,
  $S$69*$C258+$T$69
)</f>
        <v>0.71</v>
      </c>
      <c r="AE258" cm="1">
        <f t="array" ref="AE258">_xlfn.SWITCH(TRUE,
  $C258&lt;$Q$5,  $U$61*$C258+$V$61,
  $C258&lt;$Q$6,  $U$62*$C258+$V$62,
  $C258&lt;$Q$7,  $U$63*$C258+$V$63,
  $C258&lt;$Q$8, $U$64*$C258+$V$64,
  $C258&lt;$Q$9, $U$65*$C258+$V$65,
  $C258&lt;$Q$10, $U$66*$C258+$V$66,
  $C258&lt;$Q$11,  $U$67*$C258+$V$67,
  $C258&lt;$Q$12, $U$68*$C258+$V$68,
  $U$69*$C258+$V$69
)</f>
        <v>3.8</v>
      </c>
      <c r="AF258" cm="1">
        <f t="array" ref="AF258">_xlfn.LET(
  _xlpm.y,$C258,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8" cm="1">
        <f t="array" ref="AG258">_xlfn.LET(
  _xlpm.y,$C258,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8" cm="1">
        <f t="array" ref="AH258">_xlfn.LET(
  _xlpm.y,$C258,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8" cm="1">
        <f t="array" ref="AI258">_xlfn.LET(
  _xlpm.y,$C258,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8" cm="1">
        <f t="array" ref="AJ258">_xlfn.LET(
  _xlpm.y,$C258,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8">
        <f t="shared" si="20"/>
        <v>6</v>
      </c>
      <c r="AL258">
        <v>10.525523870676006</v>
      </c>
      <c r="AM258">
        <v>3.3866655754158574</v>
      </c>
      <c r="AN258">
        <v>7.5911175592147684</v>
      </c>
      <c r="AO258">
        <v>0.31636346347560612</v>
      </c>
    </row>
    <row r="259" spans="2:41">
      <c r="B259">
        <f>'主翼(型紙出力)'!B102</f>
        <v>51</v>
      </c>
      <c r="C259">
        <f>INT(('主翼(型紙出力)'!C102)*1000)/1000</f>
        <v>7.75</v>
      </c>
      <c r="D259">
        <f>'主翼(型紙出力)'!E102</f>
        <v>0.15</v>
      </c>
      <c r="E259">
        <f>'主翼(重量推算)'!CE99</f>
        <v>1.392299793606705</v>
      </c>
      <c r="F259" s="244" cm="1">
        <f t="array" ref="F259">_xlfn.SWITCH(TRUE,
  $C259&lt;$Q$5,  $S$22*$C259+$T$22,
  $C259&lt;$Q$6,  $S$23*$C259+$T$23,
  $C259&lt;$Q$7,  $S$24*$C259+$T$24,
  $C259&lt;$Q$8, $S$25*$C259+$T$25,
  $C259&lt;$Q$9, $S$26*$C259+$T$26,
  $C259&lt;$Q$10, $S$27*$C259+$T$27,
  $C259&lt;$Q$11,  $S$28*$C259+$T$28,
  $C259&lt;$Q$12, $S$29*$C259+$T$29,
  $S$30*$C259+$T$30
)</f>
        <v>0.78263157894736823</v>
      </c>
      <c r="G259" cm="1">
        <f t="array" ref="G259">_xlfn.SWITCH(TRUE,
  $C259&lt;$Q$5,  $U$22*$C259+$V$22,
  $C259&lt;$Q$6,  $U$23*$C259+$V$23,
  $C259&lt;$Q$7,  $U$24*$C259+$V$24,
  $C259&lt;$Q$8, $U$25*$C259+$V$25,
  $C259&lt;$Q$9, $U$26*$C259+$V$26,
  $C259&lt;$Q$10, $U$27*$C259+$V$27,
  $C259&lt;$Q$11,  $U$28*$C259+$V$28,
  $C259&lt;$Q$12, $U$29*$C259+$V$29,
  $U$30*$C259+$V$30
)</f>
        <v>3.4</v>
      </c>
      <c r="H259" cm="1">
        <f t="array" ref="H259">_xlfn.LET(
  _xlpm.y,$C259,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9" cm="1">
        <f t="array" ref="I259">_xlfn.LET(
  _xlpm.y,$C259,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9" cm="1">
        <f t="array" ref="J259">_xlfn.LET(
  _xlpm.y,$C259,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9" cm="1">
        <f t="array" ref="K259">_xlfn.LET(
  _xlpm.y,$C259,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9" cm="1">
        <f t="array" ref="L259">_xlfn.LET(
  _xlpm.y,$C259,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9" cm="1">
        <f t="array" ref="M259">_xlfn.SWITCH(TRUE,
  $C259&lt;$Q$5,  $D$22,
  $C259&lt;$Q$6,  $D$23,
  $C259&lt;$Q$7,  $D$24,
  $C259&lt;$Q$8,  $D$25,
  $C259&lt;$Q$9,  $D$26,
  $C259&lt;$Q$10,  $D$27,
  $C259&lt;$Q$11,  $D$28,
  $C259&lt;$Q$12,  $D$29,
  $C259&lt;$Q$13,  $D$30,
  $C259&lt;100,  $D$31,
)</f>
        <v>6</v>
      </c>
      <c r="N259">
        <v>11.358188288126453</v>
      </c>
      <c r="O259">
        <v>4.1192256654216246</v>
      </c>
      <c r="P259">
        <v>7.7357933181708329</v>
      </c>
      <c r="Q259" s="129">
        <v>0.38512554089651185</v>
      </c>
      <c r="R259" s="244" cm="1">
        <f t="array" ref="R259">_xlfn.SWITCH(TRUE,
  $C259&lt;$Q$5,  $S$41*$C259+$T$41,
  $C259&lt;$Q$6,  $S$42*$C259+$T$42,
  $C259&lt;$Q$7,  $S$43*$C259+$T$43,
  $C259&lt;$Q$8, $S$44*$C259+$T$44,
  $C259&lt;$Q$9, $S$45*$C259+$T$45,
  $C259&lt;$Q$10, $S$46*$C259+$T$46,
  $C259&lt;$Q$11,  $S$47*$C259+$T$47,
  $C259&lt;$Q$12, $S$48*$C259+$T$48,
  $S$49*$C259+$T$49
)</f>
        <v>0.6978947368421049</v>
      </c>
      <c r="S259" cm="1">
        <f t="array" ref="S259">_xlfn.SWITCH(TRUE,
  $C259&lt;$Q$5,  $U$41*$C259+$V$41,
  $C259&lt;$Q$6,  $U$42*$C259+$V$42,
  $C259&lt;$Q$7,  $U$43*$C259+$V$43,
  $C259&lt;$Q$8, $U$44*$C259+$V$44,
  $C259&lt;$Q$9, $U$45*$C259+$V$45,
  $C259&lt;$Q$10, $U$46*$C259+$V$46,
  $C259&lt;$Q$11,  $U$47*$C259+$V$47,
  $C259&lt;$Q$12, $U$48*$C259+$V$48,
  $U$49*$C259+$V$49
)</f>
        <v>3.8</v>
      </c>
      <c r="T259">
        <f t="shared" si="14"/>
        <v>0</v>
      </c>
      <c r="U259">
        <f t="shared" si="15"/>
        <v>1</v>
      </c>
      <c r="V259">
        <f t="shared" si="16"/>
        <v>0</v>
      </c>
      <c r="W259">
        <f t="shared" si="17"/>
        <v>0</v>
      </c>
      <c r="X259">
        <f t="shared" si="18"/>
        <v>0</v>
      </c>
      <c r="Y259">
        <f t="shared" si="19"/>
        <v>6</v>
      </c>
      <c r="Z259">
        <v>10.725210661618259</v>
      </c>
      <c r="AA259">
        <v>3.5607563893918983</v>
      </c>
      <c r="AB259">
        <v>7.7382221073840869</v>
      </c>
      <c r="AC259" s="129">
        <v>0.34910779229843025</v>
      </c>
      <c r="AD259" s="244" cm="1">
        <f t="array" ref="AD259">_xlfn.SWITCH(TRUE,
  $C259&lt;$Q$5,  $S$61*$C259+$T$61,
  $C259&lt;$Q$6,  $S$62*$C259+$T$62,
  $C259&lt;$Q$7,  $S$63*$C259+$T$63,
  $C259&lt;$Q$8, $S$64*$C259+$T$64,
  $C259&lt;$Q$9, $S$65*$C259+$T$65,
  $C259&lt;$Q$10, $S$66*$C259+$T$66,
  $C259&lt;$Q$11,  $S$67*$C259+$T$67,
  $C259&lt;$Q$12, $S$68*$C259+$T$68,
  $S$69*$C259+$T$69
)</f>
        <v>0.69894736842105254</v>
      </c>
      <c r="AE259" cm="1">
        <f t="array" ref="AE259">_xlfn.SWITCH(TRUE,
  $C259&lt;$Q$5,  $U$61*$C259+$V$61,
  $C259&lt;$Q$6,  $U$62*$C259+$V$62,
  $C259&lt;$Q$7,  $U$63*$C259+$V$63,
  $C259&lt;$Q$8, $U$64*$C259+$V$64,
  $C259&lt;$Q$9, $U$65*$C259+$V$65,
  $C259&lt;$Q$10, $U$66*$C259+$V$66,
  $C259&lt;$Q$11,  $U$67*$C259+$V$67,
  $C259&lt;$Q$12, $U$68*$C259+$V$68,
  $U$69*$C259+$V$69
)</f>
        <v>3.8</v>
      </c>
      <c r="AF259" cm="1">
        <f t="array" ref="AF259">_xlfn.LET(
  _xlpm.y,$C259,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9" cm="1">
        <f t="array" ref="AG259">_xlfn.LET(
  _xlpm.y,$C259,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9" cm="1">
        <f t="array" ref="AH259">_xlfn.LET(
  _xlpm.y,$C259,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9" cm="1">
        <f t="array" ref="AI259">_xlfn.LET(
  _xlpm.y,$C259,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9" cm="1">
        <f t="array" ref="AJ259">_xlfn.LET(
  _xlpm.y,$C259,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9">
        <f t="shared" si="20"/>
        <v>6</v>
      </c>
      <c r="AL259">
        <v>10.600538161761953</v>
      </c>
      <c r="AM259">
        <v>3.3279714353133802</v>
      </c>
      <c r="AN259">
        <v>7.7385936034938618</v>
      </c>
      <c r="AO259">
        <v>0.34376449199263254</v>
      </c>
    </row>
    <row r="260" spans="2:41">
      <c r="B260">
        <f>'主翼(型紙出力)'!B103</f>
        <v>52</v>
      </c>
      <c r="C260">
        <f>INT(('主翼(型紙出力)'!C103)*1000)/1000</f>
        <v>7.9</v>
      </c>
      <c r="D260">
        <f>'主翼(型紙出力)'!E103</f>
        <v>0.15</v>
      </c>
      <c r="E260">
        <f>'主翼(重量推算)'!CE100</f>
        <v>1.3348805126214873</v>
      </c>
      <c r="F260" s="244" cm="1">
        <f t="array" ref="F260">_xlfn.SWITCH(TRUE,
  $C260&lt;$Q$5,  $S$22*$C260+$T$22,
  $C260&lt;$Q$6,  $S$23*$C260+$T$23,
  $C260&lt;$Q$7,  $S$24*$C260+$T$24,
  $C260&lt;$Q$8, $S$25*$C260+$T$25,
  $C260&lt;$Q$9, $S$26*$C260+$T$26,
  $C260&lt;$Q$10, $S$27*$C260+$T$27,
  $C260&lt;$Q$11,  $S$28*$C260+$T$28,
  $C260&lt;$Q$12, $S$29*$C260+$T$29,
  $S$30*$C260+$T$30
)</f>
        <v>0.76526315789473665</v>
      </c>
      <c r="G260" cm="1">
        <f t="array" ref="G260">_xlfn.SWITCH(TRUE,
  $C260&lt;$Q$5,  $U$22*$C260+$V$22,
  $C260&lt;$Q$6,  $U$23*$C260+$V$23,
  $C260&lt;$Q$7,  $U$24*$C260+$V$24,
  $C260&lt;$Q$8, $U$25*$C260+$V$25,
  $C260&lt;$Q$9, $U$26*$C260+$V$26,
  $C260&lt;$Q$10, $U$27*$C260+$V$27,
  $C260&lt;$Q$11,  $U$28*$C260+$V$28,
  $C260&lt;$Q$12, $U$29*$C260+$V$29,
  $U$30*$C260+$V$30
)</f>
        <v>3.4</v>
      </c>
      <c r="H260" cm="1">
        <f t="array" ref="H260">_xlfn.LET(
  _xlpm.y,$C260,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0" cm="1">
        <f t="array" ref="I260">_xlfn.LET(
  _xlpm.y,$C260,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0" cm="1">
        <f t="array" ref="J260">_xlfn.LET(
  _xlpm.y,$C260,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0" cm="1">
        <f t="array" ref="K260">_xlfn.LET(
  _xlpm.y,$C260,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0" cm="1">
        <f t="array" ref="L260">_xlfn.LET(
  _xlpm.y,$C260,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0" cm="1">
        <f t="array" ref="M260">_xlfn.SWITCH(TRUE,
  $C260&lt;$Q$5,  $D$22,
  $C260&lt;$Q$6,  $D$23,
  $C260&lt;$Q$7,  $D$24,
  $C260&lt;$Q$8,  $D$25,
  $C260&lt;$Q$9,  $D$26,
  $C260&lt;$Q$10,  $D$27,
  $C260&lt;$Q$11,  $D$28,
  $C260&lt;$Q$12,  $D$29,
  $C260&lt;$Q$13,  $D$30,
  $C260&lt;100,  $D$31,
)</f>
        <v>6</v>
      </c>
      <c r="N260">
        <v>11.454530301884553</v>
      </c>
      <c r="O260">
        <v>4.0582684504406759</v>
      </c>
      <c r="P260">
        <v>7.8828555913368437</v>
      </c>
      <c r="Q260" s="129">
        <v>0.41466683083526712</v>
      </c>
      <c r="R260" s="244" cm="1">
        <f t="array" ref="R260">_xlfn.SWITCH(TRUE,
  $C260&lt;$Q$5,  $S$41*$C260+$T$41,
  $C260&lt;$Q$6,  $S$42*$C260+$T$42,
  $C260&lt;$Q$7,  $S$43*$C260+$T$43,
  $C260&lt;$Q$8, $S$44*$C260+$T$44,
  $C260&lt;$Q$9, $S$45*$C260+$T$45,
  $C260&lt;$Q$10, $S$46*$C260+$T$46,
  $C260&lt;$Q$11,  $S$47*$C260+$T$47,
  $C260&lt;$Q$12, $S$48*$C260+$T$48,
  $S$49*$C260+$T$49
)</f>
        <v>0.67578947368421027</v>
      </c>
      <c r="S260" cm="1">
        <f t="array" ref="S260">_xlfn.SWITCH(TRUE,
  $C260&lt;$Q$5,  $U$41*$C260+$V$41,
  $C260&lt;$Q$6,  $U$42*$C260+$V$42,
  $C260&lt;$Q$7,  $U$43*$C260+$V$43,
  $C260&lt;$Q$8, $U$44*$C260+$V$44,
  $C260&lt;$Q$9, $U$45*$C260+$V$45,
  $C260&lt;$Q$10, $U$46*$C260+$V$46,
  $C260&lt;$Q$11,  $U$47*$C260+$V$47,
  $C260&lt;$Q$12, $U$48*$C260+$V$48,
  $U$49*$C260+$V$49
)</f>
        <v>3.8</v>
      </c>
      <c r="T260">
        <f t="shared" si="14"/>
        <v>0</v>
      </c>
      <c r="U260">
        <f t="shared" si="15"/>
        <v>1</v>
      </c>
      <c r="V260">
        <f t="shared" si="16"/>
        <v>0</v>
      </c>
      <c r="W260">
        <f t="shared" si="17"/>
        <v>0</v>
      </c>
      <c r="X260">
        <f t="shared" si="18"/>
        <v>0</v>
      </c>
      <c r="Y260">
        <f t="shared" si="19"/>
        <v>6</v>
      </c>
      <c r="Z260">
        <v>10.804682981983827</v>
      </c>
      <c r="AA260">
        <v>3.4961249335774434</v>
      </c>
      <c r="AB260">
        <v>7.8856017583491909</v>
      </c>
      <c r="AC260" s="129">
        <v>0.37702263568692468</v>
      </c>
      <c r="AD260" s="244" cm="1">
        <f t="array" ref="AD260">_xlfn.SWITCH(TRUE,
  $C260&lt;$Q$5,  $S$61*$C260+$T$61,
  $C260&lt;$Q$6,  $S$62*$C260+$T$62,
  $C260&lt;$Q$7,  $S$63*$C260+$T$63,
  $C260&lt;$Q$8, $S$64*$C260+$T$64,
  $C260&lt;$Q$9, $S$65*$C260+$T$65,
  $C260&lt;$Q$10, $S$66*$C260+$T$66,
  $C260&lt;$Q$11,  $S$67*$C260+$T$67,
  $C260&lt;$Q$12, $S$68*$C260+$T$68,
  $S$69*$C260+$T$69
)</f>
        <v>0.68789473684210523</v>
      </c>
      <c r="AE260" cm="1">
        <f t="array" ref="AE260">_xlfn.SWITCH(TRUE,
  $C260&lt;$Q$5,  $U$61*$C260+$V$61,
  $C260&lt;$Q$6,  $U$62*$C260+$V$62,
  $C260&lt;$Q$7,  $U$63*$C260+$V$63,
  $C260&lt;$Q$8, $U$64*$C260+$V$64,
  $C260&lt;$Q$9, $U$65*$C260+$V$65,
  $C260&lt;$Q$10, $U$66*$C260+$V$66,
  $C260&lt;$Q$11,  $U$67*$C260+$V$67,
  $C260&lt;$Q$12, $U$68*$C260+$V$68,
  $U$69*$C260+$V$69
)</f>
        <v>3.8</v>
      </c>
      <c r="AF260" cm="1">
        <f t="array" ref="AF260">_xlfn.LET(
  _xlpm.y,$C260,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0" cm="1">
        <f t="array" ref="AG260">_xlfn.LET(
  _xlpm.y,$C260,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60" cm="1">
        <f t="array" ref="AH260">_xlfn.LET(
  _xlpm.y,$C260,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60" cm="1">
        <f t="array" ref="AI260">_xlfn.LET(
  _xlpm.y,$C260,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0" cm="1">
        <f t="array" ref="AJ260">_xlfn.LET(
  _xlpm.y,$C260,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0">
        <f t="shared" si="20"/>
        <v>6</v>
      </c>
      <c r="AL260">
        <v>10.674062900994809</v>
      </c>
      <c r="AM260">
        <v>3.2680398799892356</v>
      </c>
      <c r="AN260">
        <v>7.8860336466899614</v>
      </c>
      <c r="AO260">
        <v>0.37135857944506334</v>
      </c>
    </row>
    <row r="261" spans="2:41">
      <c r="B261">
        <f>'主翼(型紙出力)'!B104</f>
        <v>53</v>
      </c>
      <c r="C261">
        <f>INT(('主翼(型紙出力)'!C104)*1000)/1000</f>
        <v>8.0500000000000007</v>
      </c>
      <c r="D261">
        <f>'主翼(型紙出力)'!E104</f>
        <v>0.15</v>
      </c>
      <c r="E261">
        <f>'主翼(重量推算)'!CE101</f>
        <v>1.3345530025275816</v>
      </c>
      <c r="F261" s="244" cm="1">
        <f t="array" ref="F261">_xlfn.SWITCH(TRUE,
  $C261&lt;$Q$5,  $S$22*$C261+$T$22,
  $C261&lt;$Q$6,  $S$23*$C261+$T$23,
  $C261&lt;$Q$7,  $S$24*$C261+$T$24,
  $C261&lt;$Q$8, $S$25*$C261+$T$25,
  $C261&lt;$Q$9, $S$26*$C261+$T$26,
  $C261&lt;$Q$10, $S$27*$C261+$T$27,
  $C261&lt;$Q$11,  $S$28*$C261+$T$28,
  $C261&lt;$Q$12, $S$29*$C261+$T$29,
  $S$30*$C261+$T$30
)</f>
        <v>0.74789473684210506</v>
      </c>
      <c r="G261" cm="1">
        <f t="array" ref="G261">_xlfn.SWITCH(TRUE,
  $C261&lt;$Q$5,  $U$22*$C261+$V$22,
  $C261&lt;$Q$6,  $U$23*$C261+$V$23,
  $C261&lt;$Q$7,  $U$24*$C261+$V$24,
  $C261&lt;$Q$8, $U$25*$C261+$V$25,
  $C261&lt;$Q$9, $U$26*$C261+$V$26,
  $C261&lt;$Q$10, $U$27*$C261+$V$27,
  $C261&lt;$Q$11,  $U$28*$C261+$V$28,
  $C261&lt;$Q$12, $U$29*$C261+$V$29,
  $U$30*$C261+$V$30
)</f>
        <v>3.4</v>
      </c>
      <c r="H261" cm="1">
        <f t="array" ref="H261">_xlfn.LET(
  _xlpm.y,$C261,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1" cm="1">
        <f t="array" ref="I261">_xlfn.LET(
  _xlpm.y,$C261,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1" cm="1">
        <f t="array" ref="J261">_xlfn.LET(
  _xlpm.y,$C261,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1" cm="1">
        <f t="array" ref="K261">_xlfn.LET(
  _xlpm.y,$C261,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1" cm="1">
        <f t="array" ref="L261">_xlfn.LET(
  _xlpm.y,$C261,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1" cm="1">
        <f t="array" ref="M261">_xlfn.SWITCH(TRUE,
  $C261&lt;$Q$5,  $D$22,
  $C261&lt;$Q$6,  $D$23,
  $C261&lt;$Q$7,  $D$24,
  $C261&lt;$Q$8,  $D$25,
  $C261&lt;$Q$9,  $D$26,
  $C261&lt;$Q$10,  $D$27,
  $C261&lt;$Q$11,  $D$28,
  $C261&lt;$Q$12,  $D$29,
  $C261&lt;$Q$13,  $D$30,
  $C261&lt;100,  $D$31,
)</f>
        <v>6</v>
      </c>
      <c r="N261">
        <v>11.549557055965114</v>
      </c>
      <c r="O261">
        <v>3.9970921646755286</v>
      </c>
      <c r="P261">
        <v>8.029867983378697</v>
      </c>
      <c r="Q261" s="129">
        <v>0.44445536195267071</v>
      </c>
      <c r="R261" s="244" cm="1">
        <f t="array" ref="R261">_xlfn.SWITCH(TRUE,
  $C261&lt;$Q$5,  $S$41*$C261+$T$41,
  $C261&lt;$Q$6,  $S$42*$C261+$T$42,
  $C261&lt;$Q$7,  $S$43*$C261+$T$43,
  $C261&lt;$Q$8, $S$44*$C261+$T$44,
  $C261&lt;$Q$9, $S$45*$C261+$T$45,
  $C261&lt;$Q$10, $S$46*$C261+$T$46,
  $C261&lt;$Q$11,  $S$47*$C261+$T$47,
  $C261&lt;$Q$12, $S$48*$C261+$T$48,
  $S$49*$C261+$T$49
)</f>
        <v>0.65368421052631542</v>
      </c>
      <c r="S261" cm="1">
        <f t="array" ref="S261">_xlfn.SWITCH(TRUE,
  $C261&lt;$Q$5,  $U$41*$C261+$V$41,
  $C261&lt;$Q$6,  $U$42*$C261+$V$42,
  $C261&lt;$Q$7,  $U$43*$C261+$V$43,
  $C261&lt;$Q$8, $U$44*$C261+$V$44,
  $C261&lt;$Q$9, $U$45*$C261+$V$45,
  $C261&lt;$Q$10, $U$46*$C261+$V$46,
  $C261&lt;$Q$11,  $U$47*$C261+$V$47,
  $C261&lt;$Q$12, $U$48*$C261+$V$48,
  $U$49*$C261+$V$49
)</f>
        <v>3.8</v>
      </c>
      <c r="T261">
        <f t="shared" si="14"/>
        <v>0</v>
      </c>
      <c r="U261">
        <f t="shared" si="15"/>
        <v>1</v>
      </c>
      <c r="V261">
        <f t="shared" si="16"/>
        <v>0</v>
      </c>
      <c r="W261">
        <f t="shared" si="17"/>
        <v>0</v>
      </c>
      <c r="X261">
        <f t="shared" si="18"/>
        <v>0</v>
      </c>
      <c r="Y261">
        <f t="shared" si="19"/>
        <v>6</v>
      </c>
      <c r="Z261">
        <v>10.882913107855458</v>
      </c>
      <c r="AA261">
        <v>3.4308139236057413</v>
      </c>
      <c r="AB261">
        <v>8.0329425481680232</v>
      </c>
      <c r="AC261" s="129">
        <v>0.40514187564042348</v>
      </c>
      <c r="AD261" s="244" cm="1">
        <f t="array" ref="AD261">_xlfn.SWITCH(TRUE,
  $C261&lt;$Q$5,  $S$61*$C261+$T$61,
  $C261&lt;$Q$6,  $S$62*$C261+$T$62,
  $C261&lt;$Q$7,  $S$63*$C261+$T$63,
  $C261&lt;$Q$8, $S$64*$C261+$T$64,
  $C261&lt;$Q$9, $S$65*$C261+$T$65,
  $C261&lt;$Q$10, $S$66*$C261+$T$66,
  $C261&lt;$Q$11,  $S$67*$C261+$T$67,
  $C261&lt;$Q$12, $S$68*$C261+$T$68,
  $S$69*$C261+$T$69
)</f>
        <v>0.6768421052631578</v>
      </c>
      <c r="AE261" cm="1">
        <f t="array" ref="AE261">_xlfn.SWITCH(TRUE,
  $C261&lt;$Q$5,  $U$61*$C261+$V$61,
  $C261&lt;$Q$6,  $U$62*$C261+$V$62,
  $C261&lt;$Q$7,  $U$63*$C261+$V$63,
  $C261&lt;$Q$8, $U$64*$C261+$V$64,
  $C261&lt;$Q$9, $U$65*$C261+$V$65,
  $C261&lt;$Q$10, $U$66*$C261+$V$66,
  $C261&lt;$Q$11,  $U$67*$C261+$V$67,
  $C261&lt;$Q$12, $U$68*$C261+$V$68,
  $U$69*$C261+$V$69
)</f>
        <v>3.8</v>
      </c>
      <c r="AF261" cm="1">
        <f t="array" ref="AF261">_xlfn.LET(
  _xlpm.y,$C261,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1" cm="1">
        <f t="array" ref="AG261">_xlfn.LET(
  _xlpm.y,$C261,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61" cm="1">
        <f t="array" ref="AH261">_xlfn.LET(
  _xlpm.y,$C261,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61" cm="1">
        <f t="array" ref="AI261">_xlfn.LET(
  _xlpm.y,$C261,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1" cm="1">
        <f t="array" ref="AJ261">_xlfn.LET(
  _xlpm.y,$C261,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1">
        <f t="shared" si="20"/>
        <v>6</v>
      </c>
      <c r="AL261">
        <v>10.746074797204372</v>
      </c>
      <c r="AM261">
        <v>3.2068123211142487</v>
      </c>
      <c r="AN261">
        <v>8.0334381584199193</v>
      </c>
      <c r="AO261">
        <v>0.3991418463813432</v>
      </c>
    </row>
    <row r="262" spans="2:41">
      <c r="B262">
        <f>'主翼(型紙出力)'!B105</f>
        <v>54</v>
      </c>
      <c r="C262">
        <f>INT(('主翼(型紙出力)'!C105)*1000)/1000</f>
        <v>8.1999999999999993</v>
      </c>
      <c r="D262">
        <f>'主翼(型紙出力)'!E105</f>
        <v>0.15</v>
      </c>
      <c r="E262">
        <f>'主翼(重量推算)'!CE102</f>
        <v>1.2803792437821562</v>
      </c>
      <c r="F262" s="244" cm="1">
        <f t="array" ref="F262">_xlfn.SWITCH(TRUE,
  $C262&lt;$Q$5,  $S$22*$C262+$T$22,
  $C262&lt;$Q$6,  $S$23*$C262+$T$23,
  $C262&lt;$Q$7,  $S$24*$C262+$T$24,
  $C262&lt;$Q$8, $S$25*$C262+$T$25,
  $C262&lt;$Q$9, $S$26*$C262+$T$26,
  $C262&lt;$Q$10, $S$27*$C262+$T$27,
  $C262&lt;$Q$11,  $S$28*$C262+$T$28,
  $C262&lt;$Q$12, $S$29*$C262+$T$29,
  $S$30*$C262+$T$30
)</f>
        <v>0.73052631578947358</v>
      </c>
      <c r="G262" cm="1">
        <f t="array" ref="G262">_xlfn.SWITCH(TRUE,
  $C262&lt;$Q$5,  $U$22*$C262+$V$22,
  $C262&lt;$Q$6,  $U$23*$C262+$V$23,
  $C262&lt;$Q$7,  $U$24*$C262+$V$24,
  $C262&lt;$Q$8, $U$25*$C262+$V$25,
  $C262&lt;$Q$9, $U$26*$C262+$V$26,
  $C262&lt;$Q$10, $U$27*$C262+$V$27,
  $C262&lt;$Q$11,  $U$28*$C262+$V$28,
  $C262&lt;$Q$12, $U$29*$C262+$V$29,
  $U$30*$C262+$V$30
)</f>
        <v>3.4</v>
      </c>
      <c r="H262" cm="1">
        <f t="array" ref="H262">_xlfn.LET(
  _xlpm.y,$C262,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2" cm="1">
        <f t="array" ref="I262">_xlfn.LET(
  _xlpm.y,$C262,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2" cm="1">
        <f t="array" ref="J262">_xlfn.LET(
  _xlpm.y,$C262,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2" cm="1">
        <f t="array" ref="K262">_xlfn.LET(
  _xlpm.y,$C262,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2" cm="1">
        <f t="array" ref="L262">_xlfn.LET(
  _xlpm.y,$C262,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2" cm="1">
        <f t="array" ref="M262">_xlfn.SWITCH(TRUE,
  $C262&lt;$Q$5,  $D$22,
  $C262&lt;$Q$6,  $D$23,
  $C262&lt;$Q$7,  $D$24,
  $C262&lt;$Q$8,  $D$25,
  $C262&lt;$Q$9,  $D$26,
  $C262&lt;$Q$10,  $D$27,
  $C262&lt;$Q$11,  $D$28,
  $C262&lt;$Q$12,  $D$29,
  $C262&lt;$Q$13,  $D$30,
  $C262&lt;100,  $D$31,
)</f>
        <v>6</v>
      </c>
      <c r="N262">
        <v>11.643211549457401</v>
      </c>
      <c r="O262">
        <v>3.9356796493534172</v>
      </c>
      <c r="P262">
        <v>8.1768307680835619</v>
      </c>
      <c r="Q262" s="129">
        <v>0.47448767641212386</v>
      </c>
      <c r="R262" s="244" cm="1">
        <f t="array" ref="R262">_xlfn.SWITCH(TRUE,
  $C262&lt;$Q$5,  $S$41*$C262+$T$41,
  $C262&lt;$Q$6,  $S$42*$C262+$T$42,
  $C262&lt;$Q$7,  $S$43*$C262+$T$43,
  $C262&lt;$Q$8, $S$44*$C262+$T$44,
  $C262&lt;$Q$9, $S$45*$C262+$T$45,
  $C262&lt;$Q$10, $S$46*$C262+$T$46,
  $C262&lt;$Q$11,  $S$47*$C262+$T$47,
  $C262&lt;$Q$12, $S$48*$C262+$T$48,
  $S$49*$C262+$T$49
)</f>
        <v>0.63157894736842102</v>
      </c>
      <c r="S262" cm="1">
        <f t="array" ref="S262">_xlfn.SWITCH(TRUE,
  $C262&lt;$Q$5,  $U$41*$C262+$V$41,
  $C262&lt;$Q$6,  $U$42*$C262+$V$42,
  $C262&lt;$Q$7,  $U$43*$C262+$V$43,
  $C262&lt;$Q$8, $U$44*$C262+$V$44,
  $C262&lt;$Q$9, $U$45*$C262+$V$45,
  $C262&lt;$Q$10, $U$46*$C262+$V$46,
  $C262&lt;$Q$11,  $U$47*$C262+$V$47,
  $C262&lt;$Q$12, $U$48*$C262+$V$48,
  $U$49*$C262+$V$49
)</f>
        <v>3.8</v>
      </c>
      <c r="T262">
        <f t="shared" si="14"/>
        <v>0</v>
      </c>
      <c r="U262">
        <f t="shared" si="15"/>
        <v>1</v>
      </c>
      <c r="V262">
        <f t="shared" si="16"/>
        <v>0</v>
      </c>
      <c r="W262">
        <f t="shared" si="17"/>
        <v>0</v>
      </c>
      <c r="X262">
        <f t="shared" si="18"/>
        <v>0</v>
      </c>
      <c r="Y262">
        <f t="shared" si="19"/>
        <v>6</v>
      </c>
      <c r="Z262">
        <v>10.959875592666567</v>
      </c>
      <c r="AA262">
        <v>3.3647984083684608</v>
      </c>
      <c r="AB262">
        <v>8.1802448074005767</v>
      </c>
      <c r="AC262" s="129">
        <v>0.43346226449695907</v>
      </c>
      <c r="AD262" s="244" cm="1">
        <f t="array" ref="AD262">_xlfn.SWITCH(TRUE,
  $C262&lt;$Q$5,  $S$61*$C262+$T$61,
  $C262&lt;$Q$6,  $S$62*$C262+$T$62,
  $C262&lt;$Q$7,  $S$63*$C262+$T$63,
  $C262&lt;$Q$8, $S$64*$C262+$T$64,
  $C262&lt;$Q$9, $S$65*$C262+$T$65,
  $C262&lt;$Q$10, $S$66*$C262+$T$66,
  $C262&lt;$Q$11,  $S$67*$C262+$T$67,
  $C262&lt;$Q$12, $S$68*$C262+$T$68,
  $S$69*$C262+$T$69
)</f>
        <v>0.6657894736842106</v>
      </c>
      <c r="AE262" cm="1">
        <f t="array" ref="AE262">_xlfn.SWITCH(TRUE,
  $C262&lt;$Q$5,  $U$61*$C262+$V$61,
  $C262&lt;$Q$6,  $U$62*$C262+$V$62,
  $C262&lt;$Q$7,  $U$63*$C262+$V$63,
  $C262&lt;$Q$8, $U$64*$C262+$V$64,
  $C262&lt;$Q$9, $U$65*$C262+$V$65,
  $C262&lt;$Q$10, $U$66*$C262+$V$66,
  $C262&lt;$Q$11,  $U$67*$C262+$V$67,
  $C262&lt;$Q$12, $U$68*$C262+$V$68,
  $U$69*$C262+$V$69
)</f>
        <v>3.8</v>
      </c>
      <c r="AF262" cm="1">
        <f t="array" ref="AF262">_xlfn.LET(
  _xlpm.y,$C262,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2" cm="1">
        <f t="array" ref="AG262">_xlfn.LET(
  _xlpm.y,$C262,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62" cm="1">
        <f t="array" ref="AH262">_xlfn.LET(
  _xlpm.y,$C262,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62" cm="1">
        <f t="array" ref="AI262">_xlfn.LET(
  _xlpm.y,$C262,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2" cm="1">
        <f t="array" ref="AJ262">_xlfn.LET(
  _xlpm.y,$C262,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2">
        <f t="shared" si="20"/>
        <v>6</v>
      </c>
      <c r="AL262">
        <v>10.816545059172473</v>
      </c>
      <c r="AM262">
        <v>3.1442333738522241</v>
      </c>
      <c r="AN262">
        <v>8.1808076344831804</v>
      </c>
      <c r="AO262">
        <v>0.42711035590258267</v>
      </c>
    </row>
    <row r="263" spans="2:41">
      <c r="B263">
        <f>'主翼(型紙出力)'!B106</f>
        <v>55</v>
      </c>
      <c r="C263">
        <f>INT(('主翼(型紙出力)'!C106)*1000)/1000</f>
        <v>8.35</v>
      </c>
      <c r="D263">
        <f>'主翼(型紙出力)'!E106</f>
        <v>0.2</v>
      </c>
      <c r="E263">
        <f>'主翼(重量推算)'!CE103</f>
        <v>2.5944811030154651</v>
      </c>
      <c r="F263" s="244" cm="1">
        <f t="array" ref="F263">_xlfn.SWITCH(TRUE,
  $C263&lt;$Q$5,  $S$22*$C263+$T$22,
  $C263&lt;$Q$6,  $S$23*$C263+$T$23,
  $C263&lt;$Q$7,  $S$24*$C263+$T$24,
  $C263&lt;$Q$8, $S$25*$C263+$T$25,
  $C263&lt;$Q$9, $S$26*$C263+$T$26,
  $C263&lt;$Q$10, $S$27*$C263+$T$27,
  $C263&lt;$Q$11,  $S$28*$C263+$T$28,
  $C263&lt;$Q$12, $S$29*$C263+$T$29,
  $S$30*$C263+$T$30
)</f>
        <v>0.71315789473684199</v>
      </c>
      <c r="G263" cm="1">
        <f t="array" ref="G263">_xlfn.SWITCH(TRUE,
  $C263&lt;$Q$5,  $U$22*$C263+$V$22,
  $C263&lt;$Q$6,  $U$23*$C263+$V$23,
  $C263&lt;$Q$7,  $U$24*$C263+$V$24,
  $C263&lt;$Q$8, $U$25*$C263+$V$25,
  $C263&lt;$Q$9, $U$26*$C263+$V$26,
  $C263&lt;$Q$10, $U$27*$C263+$V$27,
  $C263&lt;$Q$11,  $U$28*$C263+$V$28,
  $C263&lt;$Q$12, $U$29*$C263+$V$29,
  $U$30*$C263+$V$30
)</f>
        <v>3.4</v>
      </c>
      <c r="H263" cm="1">
        <f t="array" ref="H263">_xlfn.LET(
  _xlpm.y,$C263,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3" cm="1">
        <f t="array" ref="I263">_xlfn.LET(
  _xlpm.y,$C263,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3" cm="1">
        <f t="array" ref="J263">_xlfn.LET(
  _xlpm.y,$C263,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3" cm="1">
        <f t="array" ref="K263">_xlfn.LET(
  _xlpm.y,$C263,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3" cm="1">
        <f t="array" ref="L263">_xlfn.LET(
  _xlpm.y,$C263,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3" cm="1">
        <f t="array" ref="M263">_xlfn.SWITCH(TRUE,
  $C263&lt;$Q$5,  $D$22,
  $C263&lt;$Q$6,  $D$23,
  $C263&lt;$Q$7,  $D$24,
  $C263&lt;$Q$8,  $D$25,
  $C263&lt;$Q$9,  $D$26,
  $C263&lt;$Q$10,  $D$27,
  $C263&lt;$Q$11,  $D$28,
  $C263&lt;$Q$12,  $D$29,
  $C263&lt;$Q$13,  $D$30,
  $C263&lt;100,  $D$31,
)</f>
        <v>6</v>
      </c>
      <c r="N263">
        <v>11.718311186045993</v>
      </c>
      <c r="O263">
        <v>3.8636864409916263</v>
      </c>
      <c r="P263">
        <v>8.3237442662804497</v>
      </c>
      <c r="Q263" s="129">
        <v>0.50476017296514941</v>
      </c>
      <c r="R263" s="244" cm="1">
        <f t="array" ref="R263">_xlfn.SWITCH(TRUE,
  $C263&lt;$Q$5,  $S$41*$C263+$T$41,
  $C263&lt;$Q$6,  $S$42*$C263+$T$42,
  $C263&lt;$Q$7,  $S$43*$C263+$T$43,
  $C263&lt;$Q$8, $S$44*$C263+$T$44,
  $C263&lt;$Q$9, $S$45*$C263+$T$45,
  $C263&lt;$Q$10, $S$46*$C263+$T$46,
  $C263&lt;$Q$11,  $S$47*$C263+$T$47,
  $C263&lt;$Q$12, $S$48*$C263+$T$48,
  $S$49*$C263+$T$49
)</f>
        <v>0.60947368421052617</v>
      </c>
      <c r="S263" cm="1">
        <f t="array" ref="S263">_xlfn.SWITCH(TRUE,
  $C263&lt;$Q$5,  $U$41*$C263+$V$41,
  $C263&lt;$Q$6,  $U$42*$C263+$V$42,
  $C263&lt;$Q$7,  $U$43*$C263+$V$43,
  $C263&lt;$Q$8, $U$44*$C263+$V$44,
  $C263&lt;$Q$9, $U$45*$C263+$V$45,
  $C263&lt;$Q$10, $U$46*$C263+$V$46,
  $C263&lt;$Q$11,  $U$47*$C263+$V$47,
  $C263&lt;$Q$12, $U$48*$C263+$V$48,
  $U$49*$C263+$V$49
)</f>
        <v>3.8</v>
      </c>
      <c r="T263">
        <f t="shared" si="14"/>
        <v>0</v>
      </c>
      <c r="U263">
        <f t="shared" si="15"/>
        <v>1</v>
      </c>
      <c r="V263">
        <f t="shared" si="16"/>
        <v>0</v>
      </c>
      <c r="W263">
        <f t="shared" si="17"/>
        <v>0</v>
      </c>
      <c r="X263">
        <f t="shared" si="18"/>
        <v>0</v>
      </c>
      <c r="Y263">
        <f t="shared" si="19"/>
        <v>6</v>
      </c>
      <c r="Z263">
        <v>11.021486922457946</v>
      </c>
      <c r="AA263">
        <v>3.2868508869243271</v>
      </c>
      <c r="AB263">
        <v>8.3275088924273604</v>
      </c>
      <c r="AC263" s="129">
        <v>0.46198049132164282</v>
      </c>
      <c r="AD263" s="244" cm="1">
        <f t="array" ref="AD263">_xlfn.SWITCH(TRUE,
  $C263&lt;$Q$5,  $S$61*$C263+$T$61,
  $C263&lt;$Q$6,  $S$62*$C263+$T$62,
  $C263&lt;$Q$7,  $S$63*$C263+$T$63,
  $C263&lt;$Q$8, $S$64*$C263+$T$64,
  $C263&lt;$Q$9, $S$65*$C263+$T$65,
  $C263&lt;$Q$10, $S$66*$C263+$T$66,
  $C263&lt;$Q$11,  $S$67*$C263+$T$67,
  $C263&lt;$Q$12, $S$68*$C263+$T$68,
  $S$69*$C263+$T$69
)</f>
        <v>0.65473684210526317</v>
      </c>
      <c r="AE263" cm="1">
        <f t="array" ref="AE263">_xlfn.SWITCH(TRUE,
  $C263&lt;$Q$5,  $U$61*$C263+$V$61,
  $C263&lt;$Q$6,  $U$62*$C263+$V$62,
  $C263&lt;$Q$7,  $U$63*$C263+$V$63,
  $C263&lt;$Q$8, $U$64*$C263+$V$64,
  $C263&lt;$Q$9, $U$65*$C263+$V$65,
  $C263&lt;$Q$10, $U$66*$C263+$V$66,
  $C263&lt;$Q$11,  $U$67*$C263+$V$67,
  $C263&lt;$Q$12, $U$68*$C263+$V$68,
  $U$69*$C263+$V$69
)</f>
        <v>3.8</v>
      </c>
      <c r="AF263" cm="1">
        <f t="array" ref="AF263">_xlfn.LET(
  _xlpm.y,$C263,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3" cm="1">
        <f t="array" ref="AG263">_xlfn.LET(
  _xlpm.y,$C263,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63" cm="1">
        <f t="array" ref="AH263">_xlfn.LET(
  _xlpm.y,$C263,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63" cm="1">
        <f t="array" ref="AI263">_xlfn.LET(
  _xlpm.y,$C263,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3" cm="1">
        <f t="array" ref="AJ263">_xlfn.LET(
  _xlpm.y,$C263,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3">
        <f t="shared" si="20"/>
        <v>6</v>
      </c>
      <c r="AL263">
        <v>10.872644514801323</v>
      </c>
      <c r="AM263">
        <v>3.0694458562496241</v>
      </c>
      <c r="AN263">
        <v>8.3281425995533596</v>
      </c>
      <c r="AO263">
        <v>0.45526009955628688</v>
      </c>
    </row>
    <row r="264" spans="2:41">
      <c r="B264">
        <f>'主翼(型紙出力)'!B107</f>
        <v>56</v>
      </c>
      <c r="C264">
        <f>INT(('主翼(型紙出力)'!C107)*1000)/1000</f>
        <v>8.5500000000000007</v>
      </c>
      <c r="D264">
        <f>'主翼(型紙出力)'!E107</f>
        <v>0.17499999999999999</v>
      </c>
      <c r="E264">
        <f>'主翼(重量推算)'!CE104</f>
        <v>4.2930485278773753</v>
      </c>
      <c r="F264" s="244" cm="1">
        <f t="array" ref="F264">_xlfn.SWITCH(TRUE,
  $C264&lt;$Q$5,  $S$22*$C264+$T$22,
  $C264&lt;$Q$6,  $S$23*$C264+$T$23,
  $C264&lt;$Q$7,  $S$24*$C264+$T$24,
  $C264&lt;$Q$8, $S$25*$C264+$T$25,
  $C264&lt;$Q$9, $S$26*$C264+$T$26,
  $C264&lt;$Q$10, $S$27*$C264+$T$27,
  $C264&lt;$Q$11,  $S$28*$C264+$T$28,
  $C264&lt;$Q$12, $S$29*$C264+$T$29,
  $S$30*$C264+$T$30
)</f>
        <v>0.68999999999999984</v>
      </c>
      <c r="G264" cm="1">
        <f t="array" ref="G264">_xlfn.SWITCH(TRUE,
  $C264&lt;$Q$5,  $U$22*$C264+$V$22,
  $C264&lt;$Q$6,  $U$23*$C264+$V$23,
  $C264&lt;$Q$7,  $U$24*$C264+$V$24,
  $C264&lt;$Q$8, $U$25*$C264+$V$25,
  $C264&lt;$Q$9, $U$26*$C264+$V$26,
  $C264&lt;$Q$10, $U$27*$C264+$V$27,
  $C264&lt;$Q$11,  $U$28*$C264+$V$28,
  $C264&lt;$Q$12, $U$29*$C264+$V$29,
  $U$30*$C264+$V$30
)</f>
        <v>3.4000000000000004</v>
      </c>
      <c r="H264" cm="1">
        <f t="array" ref="H264">_xlfn.LET(
  _xlpm.y,$C264,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4" cm="1">
        <f t="array" ref="I264">_xlfn.LET(
  _xlpm.y,$C264,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4" cm="1">
        <f t="array" ref="J264">_xlfn.LET(
  _xlpm.y,$C264,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4" cm="1">
        <f t="array" ref="K264">_xlfn.LET(
  _xlpm.y,$C264,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4" cm="1">
        <f t="array" ref="L264">_xlfn.LET(
  _xlpm.y,$C264,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4" cm="1">
        <f t="array" ref="M264">_xlfn.SWITCH(TRUE,
  $C264&lt;$Q$5,  $D$22,
  $C264&lt;$Q$6,  $D$23,
  $C264&lt;$Q$7,  $D$24,
  $C264&lt;$Q$8,  $D$25,
  $C264&lt;$Q$9,  $D$26,
  $C264&lt;$Q$10,  $D$27,
  $C264&lt;$Q$11,  $D$28,
  $C264&lt;$Q$12,  $D$29,
  $C264&lt;$Q$13,  $D$30,
  $C264&lt;100,  $D$31,
)</f>
        <v>6</v>
      </c>
      <c r="N264">
        <v>11.762492704477181</v>
      </c>
      <c r="O264">
        <v>3.7860382604059595</v>
      </c>
      <c r="P264">
        <v>8.519575856625357</v>
      </c>
      <c r="Q264" s="129">
        <v>0.54538022002303344</v>
      </c>
      <c r="R264" s="244" cm="1">
        <f t="array" ref="R264">_xlfn.SWITCH(TRUE,
  $C264&lt;$Q$5,  $S$41*$C264+$T$41,
  $C264&lt;$Q$6,  $S$42*$C264+$T$42,
  $C264&lt;$Q$7,  $S$43*$C264+$T$43,
  $C264&lt;$Q$8, $S$44*$C264+$T$44,
  $C264&lt;$Q$9, $S$45*$C264+$T$45,
  $C264&lt;$Q$10, $S$46*$C264+$T$46,
  $C264&lt;$Q$11,  $S$47*$C264+$T$47,
  $C264&lt;$Q$12, $S$48*$C264+$T$48,
  $S$49*$C264+$T$49
)</f>
        <v>0.57999999999999996</v>
      </c>
      <c r="S264" cm="1">
        <f t="array" ref="S264">_xlfn.SWITCH(TRUE,
  $C264&lt;$Q$5,  $U$41*$C264+$V$41,
  $C264&lt;$Q$6,  $U$42*$C264+$V$42,
  $C264&lt;$Q$7,  $U$43*$C264+$V$43,
  $C264&lt;$Q$8, $U$44*$C264+$V$44,
  $C264&lt;$Q$9, $U$45*$C264+$V$45,
  $C264&lt;$Q$10, $U$46*$C264+$V$46,
  $C264&lt;$Q$11,  $U$47*$C264+$V$47,
  $C264&lt;$Q$12, $U$48*$C264+$V$48,
  $U$49*$C264+$V$49
)</f>
        <v>3.8</v>
      </c>
      <c r="T264">
        <f t="shared" si="14"/>
        <v>0</v>
      </c>
      <c r="U264">
        <f t="shared" si="15"/>
        <v>1</v>
      </c>
      <c r="V264">
        <f t="shared" si="16"/>
        <v>0</v>
      </c>
      <c r="W264">
        <f t="shared" si="17"/>
        <v>0</v>
      </c>
      <c r="X264">
        <f t="shared" si="18"/>
        <v>0</v>
      </c>
      <c r="Y264">
        <f t="shared" si="19"/>
        <v>6</v>
      </c>
      <c r="Z264">
        <v>11.057659628372239</v>
      </c>
      <c r="AA264">
        <v>3.2021623238422587</v>
      </c>
      <c r="AB264">
        <v>8.5238200039676784</v>
      </c>
      <c r="AC264" s="129">
        <v>0.50021591319462155</v>
      </c>
      <c r="AD264" s="244" cm="1">
        <f t="array" ref="AD264">_xlfn.SWITCH(TRUE,
  $C264&lt;$Q$5,  $S$61*$C264+$T$61,
  $C264&lt;$Q$6,  $S$62*$C264+$T$62,
  $C264&lt;$Q$7,  $S$63*$C264+$T$63,
  $C264&lt;$Q$8, $S$64*$C264+$T$64,
  $C264&lt;$Q$9, $S$65*$C264+$T$65,
  $C264&lt;$Q$10, $S$66*$C264+$T$66,
  $C264&lt;$Q$11,  $S$67*$C264+$T$67,
  $C264&lt;$Q$12, $S$68*$C264+$T$68,
  $S$69*$C264+$T$69
)</f>
        <v>0.6399999999999999</v>
      </c>
      <c r="AE264" cm="1">
        <f t="array" ref="AE264">_xlfn.SWITCH(TRUE,
  $C264&lt;$Q$5,  $U$61*$C264+$V$61,
  $C264&lt;$Q$6,  $U$62*$C264+$V$62,
  $C264&lt;$Q$7,  $U$63*$C264+$V$63,
  $C264&lt;$Q$8, $U$64*$C264+$V$64,
  $C264&lt;$Q$9, $U$65*$C264+$V$65,
  $C264&lt;$Q$10, $U$66*$C264+$V$66,
  $C264&lt;$Q$11,  $U$67*$C264+$V$67,
  $C264&lt;$Q$12, $U$68*$C264+$V$68,
  $U$69*$C264+$V$69
)</f>
        <v>3.8</v>
      </c>
      <c r="AF264" cm="1">
        <f t="array" ref="AF264">_xlfn.LET(
  _xlpm.y,$C264,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4" cm="1">
        <f t="array" ref="AG264">_xlfn.LET(
  _xlpm.y,$C264,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64" cm="1">
        <f t="array" ref="AH264">_xlfn.LET(
  _xlpm.y,$C264,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64" cm="1">
        <f t="array" ref="AI264">_xlfn.LET(
  _xlpm.y,$C264,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4" cm="1">
        <f t="array" ref="AJ264">_xlfn.LET(
  _xlpm.y,$C264,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4">
        <f t="shared" si="20"/>
        <v>6</v>
      </c>
      <c r="AL264">
        <v>10.905350057419316</v>
      </c>
      <c r="AM264">
        <v>2.9871006692315341</v>
      </c>
      <c r="AN264">
        <v>8.5245523761779118</v>
      </c>
      <c r="AO264">
        <v>0.49298541792861383</v>
      </c>
    </row>
    <row r="265" spans="2:41">
      <c r="B265">
        <f>'主翼(型紙出力)'!B108</f>
        <v>57</v>
      </c>
      <c r="C265">
        <f>INT(('主翼(型紙出力)'!C108)*1000)/1000</f>
        <v>8.7249999999999996</v>
      </c>
      <c r="D265">
        <f>'主翼(型紙出力)'!E108</f>
        <v>0.15</v>
      </c>
      <c r="E265">
        <f>'主翼(重量推算)'!CE105</f>
        <v>1.9052838391816294</v>
      </c>
      <c r="F265" s="244" cm="1">
        <f t="array" ref="F265">_xlfn.SWITCH(TRUE,
  $C265&lt;$Q$5,  $S$22*$C265+$T$22,
  $C265&lt;$Q$6,  $S$23*$C265+$T$23,
  $C265&lt;$Q$7,  $S$24*$C265+$T$24,
  $C265&lt;$Q$8, $S$25*$C265+$T$25,
  $C265&lt;$Q$9, $S$26*$C265+$T$26,
  $C265&lt;$Q$10, $S$27*$C265+$T$27,
  $C265&lt;$Q$11,  $S$28*$C265+$T$28,
  $C265&lt;$Q$12, $S$29*$C265+$T$29,
  $S$30*$C265+$T$30
)</f>
        <v>0.68743119266055031</v>
      </c>
      <c r="G265" cm="1">
        <f t="array" ref="G265">_xlfn.SWITCH(TRUE,
  $C265&lt;$Q$5,  $U$22*$C265+$V$22,
  $C265&lt;$Q$6,  $U$23*$C265+$V$23,
  $C265&lt;$Q$7,  $U$24*$C265+$V$24,
  $C265&lt;$Q$8, $U$25*$C265+$V$25,
  $C265&lt;$Q$9, $U$26*$C265+$V$26,
  $C265&lt;$Q$10, $U$27*$C265+$V$27,
  $C265&lt;$Q$11,  $U$28*$C265+$V$28,
  $C265&lt;$Q$12, $U$29*$C265+$V$29,
  $U$30*$C265+$V$30
)</f>
        <v>3.3614678899082575</v>
      </c>
      <c r="H265" cm="1">
        <f t="array" ref="H265">_xlfn.LET(
  _xlpm.y,$C265,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5" cm="1">
        <f t="array" ref="I265">_xlfn.LET(
  _xlpm.y,$C265,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0.93577981651376185</v>
      </c>
      <c r="J265" cm="1">
        <f t="array" ref="J265">_xlfn.LET(
  _xlpm.y,$C265,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6.4220183486238147E-2</v>
      </c>
      <c r="K265" cm="1">
        <f t="array" ref="K265">_xlfn.LET(
  _xlpm.y,$C265,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5" cm="1">
        <f t="array" ref="L265">_xlfn.LET(
  _xlpm.y,$C265,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5" cm="1">
        <f t="array" ref="M265">_xlfn.SWITCH(TRUE,
  $C265&lt;$Q$5,  $D$22,
  $C265&lt;$Q$6,  $D$23,
  $C265&lt;$Q$7,  $D$24,
  $C265&lt;$Q$8,  $D$25,
  $C265&lt;$Q$9,  $D$26,
  $C265&lt;$Q$10,  $D$27,
  $C265&lt;$Q$11,  $D$28,
  $C265&lt;$Q$12,  $D$29,
  $C265&lt;$Q$13,  $D$30,
  $C265&lt;100,  $D$31,
)</f>
        <v>6</v>
      </c>
      <c r="N265">
        <v>11.798185908649511</v>
      </c>
      <c r="O265">
        <v>3.7182086875372367</v>
      </c>
      <c r="P265">
        <v>8.6909010399211102</v>
      </c>
      <c r="Q265" s="129">
        <v>0.58105488286203422</v>
      </c>
      <c r="R265" s="244" cm="1">
        <f t="array" ref="R265">_xlfn.SWITCH(TRUE,
  $C265&lt;$Q$5,  $S$41*$C265+$T$41,
  $C265&lt;$Q$6,  $S$42*$C265+$T$42,
  $C265&lt;$Q$7,  $S$43*$C265+$T$43,
  $C265&lt;$Q$8, $S$44*$C265+$T$44,
  $C265&lt;$Q$9, $S$45*$C265+$T$45,
  $C265&lt;$Q$10, $S$46*$C265+$T$46,
  $C265&lt;$Q$11,  $S$47*$C265+$T$47,
  $C265&lt;$Q$12, $S$48*$C265+$T$48,
  $S$49*$C265+$T$49
)</f>
        <v>0.57743119266055043</v>
      </c>
      <c r="S265" cm="1">
        <f t="array" ref="S265">_xlfn.SWITCH(TRUE,
  $C265&lt;$Q$5,  $U$41*$C265+$V$41,
  $C265&lt;$Q$6,  $U$42*$C265+$V$42,
  $C265&lt;$Q$7,  $U$43*$C265+$V$43,
  $C265&lt;$Q$8, $U$44*$C265+$V$44,
  $C265&lt;$Q$9, $U$45*$C265+$V$45,
  $C265&lt;$Q$10, $U$46*$C265+$V$46,
  $C265&lt;$Q$11,  $U$47*$C265+$V$47,
  $C265&lt;$Q$12, $U$48*$C265+$V$48,
  $U$49*$C265+$V$49
)</f>
        <v>3.7165137614678905</v>
      </c>
      <c r="T265">
        <f t="shared" si="14"/>
        <v>0</v>
      </c>
      <c r="U265">
        <f t="shared" si="15"/>
        <v>0.93577981651376185</v>
      </c>
      <c r="V265">
        <f t="shared" si="16"/>
        <v>6.4220183486238147E-2</v>
      </c>
      <c r="W265">
        <f t="shared" si="17"/>
        <v>0</v>
      </c>
      <c r="X265">
        <f t="shared" si="18"/>
        <v>0</v>
      </c>
      <c r="Y265">
        <f t="shared" si="19"/>
        <v>6</v>
      </c>
      <c r="Z265">
        <v>11.086817066500432</v>
      </c>
      <c r="AA265">
        <v>3.1277330932789504</v>
      </c>
      <c r="AB265">
        <v>8.6955710704672349</v>
      </c>
      <c r="AC265" s="129">
        <v>0.5337803461000814</v>
      </c>
      <c r="AD265" s="244" cm="1">
        <f t="array" ref="AD265">_xlfn.SWITCH(TRUE,
  $C265&lt;$Q$5,  $S$61*$C265+$T$61,
  $C265&lt;$Q$6,  $S$62*$C265+$T$62,
  $C265&lt;$Q$7,  $S$63*$C265+$T$63,
  $C265&lt;$Q$8, $S$64*$C265+$T$64,
  $C265&lt;$Q$9, $S$65*$C265+$T$65,
  $C265&lt;$Q$10, $S$66*$C265+$T$66,
  $C265&lt;$Q$11,  $S$67*$C265+$T$67,
  $C265&lt;$Q$12, $S$68*$C265+$T$68,
  $S$69*$C265+$T$69
)</f>
        <v>0.63422018348623854</v>
      </c>
      <c r="AE265" cm="1">
        <f t="array" ref="AE265">_xlfn.SWITCH(TRUE,
  $C265&lt;$Q$5,  $U$61*$C265+$V$61,
  $C265&lt;$Q$6,  $U$62*$C265+$V$62,
  $C265&lt;$Q$7,  $U$63*$C265+$V$63,
  $C265&lt;$Q$8, $U$64*$C265+$V$64,
  $C265&lt;$Q$9, $U$65*$C265+$V$65,
  $C265&lt;$Q$10, $U$66*$C265+$V$66,
  $C265&lt;$Q$11,  $U$67*$C265+$V$67,
  $C265&lt;$Q$12, $U$68*$C265+$V$68,
  $U$69*$C265+$V$69
)</f>
        <v>3.7165137614678905</v>
      </c>
      <c r="AF265" cm="1">
        <f t="array" ref="AF265">_xlfn.LET(
  _xlpm.y,$C265,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5" cm="1">
        <f t="array" ref="AG265">_xlfn.LET(
  _xlpm.y,$C265,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0.93577981651376185</v>
      </c>
      <c r="AH265" cm="1">
        <f t="array" ref="AH265">_xlfn.LET(
  _xlpm.y,$C265,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6.4220183486238147E-2</v>
      </c>
      <c r="AI265" cm="1">
        <f t="array" ref="AI265">_xlfn.LET(
  _xlpm.y,$C265,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5" cm="1">
        <f t="array" ref="AJ265">_xlfn.LET(
  _xlpm.y,$C265,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5">
        <f t="shared" si="20"/>
        <v>6</v>
      </c>
      <c r="AL265">
        <v>10.931509754068372</v>
      </c>
      <c r="AM265">
        <v>2.913817552699876</v>
      </c>
      <c r="AN265">
        <v>8.6963920601759455</v>
      </c>
      <c r="AO265">
        <v>0.52609316631861824</v>
      </c>
    </row>
    <row r="266" spans="2:41">
      <c r="B266">
        <f>'主翼(型紙出力)'!B109</f>
        <v>58</v>
      </c>
      <c r="C266">
        <f>INT(('主翼(型紙出力)'!C109)*1000)/1000</f>
        <v>8.875</v>
      </c>
      <c r="D266">
        <f>'主翼(型紙出力)'!E109</f>
        <v>0.15</v>
      </c>
      <c r="E266">
        <f>'主翼(重量推算)'!CE106</f>
        <v>1.0881592480013904</v>
      </c>
      <c r="F266" s="244" cm="1">
        <f t="array" ref="F266">_xlfn.SWITCH(TRUE,
  $C266&lt;$Q$5,  $S$22*$C266+$T$22,
  $C266&lt;$Q$6,  $S$23*$C266+$T$23,
  $C266&lt;$Q$7,  $S$24*$C266+$T$24,
  $C266&lt;$Q$8, $S$25*$C266+$T$25,
  $C266&lt;$Q$9, $S$26*$C266+$T$26,
  $C266&lt;$Q$10, $S$27*$C266+$T$27,
  $C266&lt;$Q$11,  $S$28*$C266+$T$28,
  $C266&lt;$Q$12, $S$29*$C266+$T$29,
  $S$30*$C266+$T$30
)</f>
        <v>0.68522935779816496</v>
      </c>
      <c r="G266" cm="1">
        <f t="array" ref="G266">_xlfn.SWITCH(TRUE,
  $C266&lt;$Q$5,  $U$22*$C266+$V$22,
  $C266&lt;$Q$6,  $U$23*$C266+$V$23,
  $C266&lt;$Q$7,  $U$24*$C266+$V$24,
  $C266&lt;$Q$8, $U$25*$C266+$V$25,
  $C266&lt;$Q$9, $U$26*$C266+$V$26,
  $C266&lt;$Q$10, $U$27*$C266+$V$27,
  $C266&lt;$Q$11,  $U$28*$C266+$V$28,
  $C266&lt;$Q$12, $U$29*$C266+$V$29,
  $U$30*$C266+$V$30
)</f>
        <v>3.3284403669724778</v>
      </c>
      <c r="H266" cm="1">
        <f t="array" ref="H266">_xlfn.LET(
  _xlpm.y,$C266,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6" cm="1">
        <f t="array" ref="I266">_xlfn.LET(
  _xlpm.y,$C266,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0.88073394495412871</v>
      </c>
      <c r="J266" cm="1">
        <f t="array" ref="J266">_xlfn.LET(
  _xlpm.y,$C266,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0.11926605504587132</v>
      </c>
      <c r="K266" cm="1">
        <f t="array" ref="K266">_xlfn.LET(
  _xlpm.y,$C266,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6" cm="1">
        <f t="array" ref="L266">_xlfn.LET(
  _xlpm.y,$C266,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6" cm="1">
        <f t="array" ref="M266">_xlfn.SWITCH(TRUE,
  $C266&lt;$Q$5,  $D$22,
  $C266&lt;$Q$6,  $D$23,
  $C266&lt;$Q$7,  $D$24,
  $C266&lt;$Q$8,  $D$25,
  $C266&lt;$Q$9,  $D$26,
  $C266&lt;$Q$10,  $D$27,
  $C266&lt;$Q$11,  $D$28,
  $C266&lt;$Q$12,  $D$29,
  $C266&lt;$Q$13,  $D$30,
  $C266&lt;100,  $D$31,
)</f>
        <v>6</v>
      </c>
      <c r="N266">
        <v>11.866014908785004</v>
      </c>
      <c r="O266">
        <v>3.6550560127247178</v>
      </c>
      <c r="P266">
        <v>8.8377321193707861</v>
      </c>
      <c r="Q266" s="129">
        <v>0.61172464170756768</v>
      </c>
      <c r="R266" s="244" cm="1">
        <f t="array" ref="R266">_xlfn.SWITCH(TRUE,
  $C266&lt;$Q$5,  $S$41*$C266+$T$41,
  $C266&lt;$Q$6,  $S$42*$C266+$T$42,
  $C266&lt;$Q$7,  $S$43*$C266+$T$43,
  $C266&lt;$Q$8, $S$44*$C266+$T$44,
  $C266&lt;$Q$9, $S$45*$C266+$T$45,
  $C266&lt;$Q$10, $S$46*$C266+$T$46,
  $C266&lt;$Q$11,  $S$47*$C266+$T$47,
  $C266&lt;$Q$12, $S$48*$C266+$T$48,
  $S$49*$C266+$T$49
)</f>
        <v>0.57522935779816509</v>
      </c>
      <c r="S266" cm="1">
        <f t="array" ref="S266">_xlfn.SWITCH(TRUE,
  $C266&lt;$Q$5,  $U$41*$C266+$V$41,
  $C266&lt;$Q$6,  $U$42*$C266+$V$42,
  $C266&lt;$Q$7,  $U$43*$C266+$V$43,
  $C266&lt;$Q$8, $U$44*$C266+$V$44,
  $C266&lt;$Q$9, $U$45*$C266+$V$45,
  $C266&lt;$Q$10, $U$46*$C266+$V$46,
  $C266&lt;$Q$11,  $U$47*$C266+$V$47,
  $C266&lt;$Q$12, $U$48*$C266+$V$48,
  $U$49*$C266+$V$49
)</f>
        <v>3.644954128440367</v>
      </c>
      <c r="T266">
        <f t="shared" si="14"/>
        <v>0</v>
      </c>
      <c r="U266">
        <f t="shared" si="15"/>
        <v>0.88073394495412871</v>
      </c>
      <c r="V266">
        <f t="shared" si="16"/>
        <v>0.11926605504587132</v>
      </c>
      <c r="W266">
        <f t="shared" si="17"/>
        <v>0</v>
      </c>
      <c r="X266">
        <f t="shared" si="18"/>
        <v>0</v>
      </c>
      <c r="Y266">
        <f t="shared" si="19"/>
        <v>6</v>
      </c>
      <c r="Z266">
        <v>11.142122089569549</v>
      </c>
      <c r="AA266">
        <v>3.0581406569309264</v>
      </c>
      <c r="AB266">
        <v>8.8427716106495087</v>
      </c>
      <c r="AC266" s="129">
        <v>0.56262477311895043</v>
      </c>
      <c r="AD266" s="244" cm="1">
        <f t="array" ref="AD266">_xlfn.SWITCH(TRUE,
  $C266&lt;$Q$5,  $S$61*$C266+$T$61,
  $C266&lt;$Q$6,  $S$62*$C266+$T$62,
  $C266&lt;$Q$7,  $S$63*$C266+$T$63,
  $C266&lt;$Q$8, $S$64*$C266+$T$64,
  $C266&lt;$Q$9, $S$65*$C266+$T$65,
  $C266&lt;$Q$10, $S$66*$C266+$T$66,
  $C266&lt;$Q$11,  $S$67*$C266+$T$67,
  $C266&lt;$Q$12, $S$68*$C266+$T$68,
  $S$69*$C266+$T$69
)</f>
        <v>0.62926605504587152</v>
      </c>
      <c r="AE266" cm="1">
        <f t="array" ref="AE266">_xlfn.SWITCH(TRUE,
  $C266&lt;$Q$5,  $U$61*$C266+$V$61,
  $C266&lt;$Q$6,  $U$62*$C266+$V$62,
  $C266&lt;$Q$7,  $U$63*$C266+$V$63,
  $C266&lt;$Q$8, $U$64*$C266+$V$64,
  $C266&lt;$Q$9, $U$65*$C266+$V$65,
  $C266&lt;$Q$10, $U$66*$C266+$V$66,
  $C266&lt;$Q$11,  $U$67*$C266+$V$67,
  $C266&lt;$Q$12, $U$68*$C266+$V$68,
  $U$69*$C266+$V$69
)</f>
        <v>3.644954128440367</v>
      </c>
      <c r="AF266" cm="1">
        <f t="array" ref="AF266">_xlfn.LET(
  _xlpm.y,$C266,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6" cm="1">
        <f t="array" ref="AG266">_xlfn.LET(
  _xlpm.y,$C266,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0.88073394495412871</v>
      </c>
      <c r="AH266" cm="1">
        <f t="array" ref="AH266">_xlfn.LET(
  _xlpm.y,$C266,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0.11926605504587132</v>
      </c>
      <c r="AI266" cm="1">
        <f t="array" ref="AI266">_xlfn.LET(
  _xlpm.y,$C266,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6" cm="1">
        <f t="array" ref="AJ266">_xlfn.LET(
  _xlpm.y,$C266,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6">
        <f t="shared" si="20"/>
        <v>6</v>
      </c>
      <c r="AL266">
        <v>10.980795419034793</v>
      </c>
      <c r="AM266">
        <v>2.8445533759141028</v>
      </c>
      <c r="AN266">
        <v>8.843670245880956</v>
      </c>
      <c r="AO266">
        <v>0.55453848254889537</v>
      </c>
    </row>
    <row r="267" spans="2:41">
      <c r="B267">
        <f>'主翼(型紙出力)'!B110</f>
        <v>59</v>
      </c>
      <c r="C267">
        <f>INT(('主翼(型紙出力)'!C110)*1000)/1000</f>
        <v>9.0250000000000004</v>
      </c>
      <c r="D267">
        <f>'主翼(型紙出力)'!E110</f>
        <v>0.15</v>
      </c>
      <c r="E267">
        <f>'主翼(重量推算)'!CE107</f>
        <v>1.0935857385744816</v>
      </c>
      <c r="F267" s="244" cm="1">
        <f t="array" ref="F267">_xlfn.SWITCH(TRUE,
  $C267&lt;$Q$5,  $S$22*$C267+$T$22,
  $C267&lt;$Q$6,  $S$23*$C267+$T$23,
  $C267&lt;$Q$7,  $S$24*$C267+$T$24,
  $C267&lt;$Q$8, $S$25*$C267+$T$25,
  $C267&lt;$Q$9, $S$26*$C267+$T$26,
  $C267&lt;$Q$10, $S$27*$C267+$T$27,
  $C267&lt;$Q$11,  $S$28*$C267+$T$28,
  $C267&lt;$Q$12, $S$29*$C267+$T$29,
  $S$30*$C267+$T$30
)</f>
        <v>0.68302752293577973</v>
      </c>
      <c r="G267" cm="1">
        <f t="array" ref="G267">_xlfn.SWITCH(TRUE,
  $C267&lt;$Q$5,  $U$22*$C267+$V$22,
  $C267&lt;$Q$6,  $U$23*$C267+$V$23,
  $C267&lt;$Q$7,  $U$24*$C267+$V$24,
  $C267&lt;$Q$8, $U$25*$C267+$V$25,
  $C267&lt;$Q$9, $U$26*$C267+$V$26,
  $C267&lt;$Q$10, $U$27*$C267+$V$27,
  $C267&lt;$Q$11,  $U$28*$C267+$V$28,
  $C267&lt;$Q$12, $U$29*$C267+$V$29,
  $U$30*$C267+$V$30
)</f>
        <v>3.2954128440366977</v>
      </c>
      <c r="H267" cm="1">
        <f t="array" ref="H267">_xlfn.LET(
  _xlpm.y,$C267,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7" cm="1">
        <f t="array" ref="I267">_xlfn.LET(
  _xlpm.y,$C267,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0.82568807339449557</v>
      </c>
      <c r="J267" cm="1">
        <f t="array" ref="J267">_xlfn.LET(
  _xlpm.y,$C267,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0.17431192660550449</v>
      </c>
      <c r="K267" cm="1">
        <f t="array" ref="K267">_xlfn.LET(
  _xlpm.y,$C267,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7" cm="1">
        <f t="array" ref="L267">_xlfn.LET(
  _xlpm.y,$C267,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7" cm="1">
        <f t="array" ref="M267">_xlfn.SWITCH(TRUE,
  $C267&lt;$Q$5,  $D$22,
  $C267&lt;$Q$6,  $D$23,
  $C267&lt;$Q$7,  $D$24,
  $C267&lt;$Q$8,  $D$25,
  $C267&lt;$Q$9,  $D$26,
  $C267&lt;$Q$10,  $D$27,
  $C267&lt;$Q$11,  $D$28,
  $C267&lt;$Q$12,  $D$29,
  $C267&lt;$Q$13,  $D$30,
  $C267&lt;100,  $D$31,
)</f>
        <v>6</v>
      </c>
      <c r="N267">
        <v>11.960319241813339</v>
      </c>
      <c r="O267">
        <v>3.5912776427928876</v>
      </c>
      <c r="P267">
        <v>8.9845267878705428</v>
      </c>
      <c r="Q267" s="129">
        <v>0.64256820343520449</v>
      </c>
      <c r="R267" s="244" cm="1">
        <f t="array" ref="R267">_xlfn.SWITCH(TRUE,
  $C267&lt;$Q$5,  $S$41*$C267+$T$41,
  $C267&lt;$Q$6,  $S$42*$C267+$T$42,
  $C267&lt;$Q$7,  $S$43*$C267+$T$43,
  $C267&lt;$Q$8, $S$44*$C267+$T$44,
  $C267&lt;$Q$9, $S$45*$C267+$T$45,
  $C267&lt;$Q$10, $S$46*$C267+$T$46,
  $C267&lt;$Q$11,  $S$47*$C267+$T$47,
  $C267&lt;$Q$12, $S$48*$C267+$T$48,
  $S$49*$C267+$T$49
)</f>
        <v>0.57302752293577985</v>
      </c>
      <c r="S267" cm="1">
        <f t="array" ref="S267">_xlfn.SWITCH(TRUE,
  $C267&lt;$Q$5,  $U$41*$C267+$V$41,
  $C267&lt;$Q$6,  $U$42*$C267+$V$42,
  $C267&lt;$Q$7,  $U$43*$C267+$V$43,
  $C267&lt;$Q$8, $U$44*$C267+$V$44,
  $C267&lt;$Q$9, $U$45*$C267+$V$45,
  $C267&lt;$Q$10, $U$46*$C267+$V$46,
  $C267&lt;$Q$11,  $U$47*$C267+$V$47,
  $C267&lt;$Q$12, $U$48*$C267+$V$48,
  $U$49*$C267+$V$49
)</f>
        <v>3.5733944954128445</v>
      </c>
      <c r="T267">
        <f t="shared" si="14"/>
        <v>0</v>
      </c>
      <c r="U267">
        <f t="shared" si="15"/>
        <v>0.82568807339449557</v>
      </c>
      <c r="V267">
        <f t="shared" si="16"/>
        <v>0.17431192660550449</v>
      </c>
      <c r="W267">
        <f t="shared" si="17"/>
        <v>0</v>
      </c>
      <c r="X267">
        <f t="shared" si="18"/>
        <v>0</v>
      </c>
      <c r="Y267">
        <f t="shared" si="19"/>
        <v>6</v>
      </c>
      <c r="Z267">
        <v>11.2189237407874</v>
      </c>
      <c r="AA267">
        <v>2.9876624720104106</v>
      </c>
      <c r="AB267">
        <v>8.9899442400414493</v>
      </c>
      <c r="AC267" s="129">
        <v>0.59161127269828229</v>
      </c>
      <c r="AD267" s="244" cm="1">
        <f t="array" ref="AD267">_xlfn.SWITCH(TRUE,
  $C267&lt;$Q$5,  $S$61*$C267+$T$61,
  $C267&lt;$Q$6,  $S$62*$C267+$T$62,
  $C267&lt;$Q$7,  $S$63*$C267+$T$63,
  $C267&lt;$Q$8, $S$64*$C267+$T$64,
  $C267&lt;$Q$9, $S$65*$C267+$T$65,
  $C267&lt;$Q$10, $S$66*$C267+$T$66,
  $C267&lt;$Q$11,  $S$67*$C267+$T$67,
  $C267&lt;$Q$12, $S$68*$C267+$T$68,
  $S$69*$C267+$T$69
)</f>
        <v>0.62431192660550461</v>
      </c>
      <c r="AE267" cm="1">
        <f t="array" ref="AE267">_xlfn.SWITCH(TRUE,
  $C267&lt;$Q$5,  $U$61*$C267+$V$61,
  $C267&lt;$Q$6,  $U$62*$C267+$V$62,
  $C267&lt;$Q$7,  $U$63*$C267+$V$63,
  $C267&lt;$Q$8, $U$64*$C267+$V$64,
  $C267&lt;$Q$9, $U$65*$C267+$V$65,
  $C267&lt;$Q$10, $U$66*$C267+$V$66,
  $C267&lt;$Q$11,  $U$67*$C267+$V$67,
  $C267&lt;$Q$12, $U$68*$C267+$V$68,
  $U$69*$C267+$V$69
)</f>
        <v>3.5733944954128445</v>
      </c>
      <c r="AF267" cm="1">
        <f t="array" ref="AF267">_xlfn.LET(
  _xlpm.y,$C267,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7" cm="1">
        <f t="array" ref="AG267">_xlfn.LET(
  _xlpm.y,$C267,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0.82568807339449557</v>
      </c>
      <c r="AH267" cm="1">
        <f t="array" ref="AH267">_xlfn.LET(
  _xlpm.y,$C267,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0.17431192660550449</v>
      </c>
      <c r="AI267" cm="1">
        <f t="array" ref="AI267">_xlfn.LET(
  _xlpm.y,$C267,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7" cm="1">
        <f t="array" ref="AJ267">_xlfn.LET(
  _xlpm.y,$C267,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7">
        <f t="shared" si="20"/>
        <v>6</v>
      </c>
      <c r="AL267">
        <v>11.048919176195124</v>
      </c>
      <c r="AM267">
        <v>2.7737115300885287</v>
      </c>
      <c r="AN267">
        <v>8.9909239085212249</v>
      </c>
      <c r="AO267">
        <v>0.5831104765119649</v>
      </c>
    </row>
    <row r="268" spans="2:41">
      <c r="B268">
        <f>'主翼(型紙出力)'!B111</f>
        <v>60</v>
      </c>
      <c r="C268">
        <f>INT(('主翼(型紙出力)'!C111)*1000)/1000</f>
        <v>9.1750000000000007</v>
      </c>
      <c r="D268">
        <f>'主翼(型紙出力)'!E111</f>
        <v>0.15</v>
      </c>
      <c r="E268">
        <f>'主翼(重量推算)'!CE108</f>
        <v>1.0560078323868298</v>
      </c>
      <c r="F268" s="244" cm="1">
        <f t="array" ref="F268">_xlfn.SWITCH(TRUE,
  $C268&lt;$Q$5,  $S$22*$C268+$T$22,
  $C268&lt;$Q$6,  $S$23*$C268+$T$23,
  $C268&lt;$Q$7,  $S$24*$C268+$T$24,
  $C268&lt;$Q$8, $S$25*$C268+$T$25,
  $C268&lt;$Q$9, $S$26*$C268+$T$26,
  $C268&lt;$Q$10, $S$27*$C268+$T$27,
  $C268&lt;$Q$11,  $S$28*$C268+$T$28,
  $C268&lt;$Q$12, $S$29*$C268+$T$29,
  $S$30*$C268+$T$30
)</f>
        <v>0.68082568807339439</v>
      </c>
      <c r="G268" cm="1">
        <f t="array" ref="G268">_xlfn.SWITCH(TRUE,
  $C268&lt;$Q$5,  $U$22*$C268+$V$22,
  $C268&lt;$Q$6,  $U$23*$C268+$V$23,
  $C268&lt;$Q$7,  $U$24*$C268+$V$24,
  $C268&lt;$Q$8, $U$25*$C268+$V$25,
  $C268&lt;$Q$9, $U$26*$C268+$V$26,
  $C268&lt;$Q$10, $U$27*$C268+$V$27,
  $C268&lt;$Q$11,  $U$28*$C268+$V$28,
  $C268&lt;$Q$12, $U$29*$C268+$V$29,
  $U$30*$C268+$V$30
)</f>
        <v>3.2623853211009179</v>
      </c>
      <c r="H268" cm="1">
        <f t="array" ref="H268">_xlfn.LET(
  _xlpm.y,$C268,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8" cm="1">
        <f t="array" ref="I268">_xlfn.LET(
  _xlpm.y,$C268,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0.77064220183486232</v>
      </c>
      <c r="J268" cm="1">
        <f t="array" ref="J268">_xlfn.LET(
  _xlpm.y,$C268,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0.22935779816513766</v>
      </c>
      <c r="K268" cm="1">
        <f t="array" ref="K268">_xlfn.LET(
  _xlpm.y,$C268,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8" cm="1">
        <f t="array" ref="L268">_xlfn.LET(
  _xlpm.y,$C268,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8" cm="1">
        <f t="array" ref="M268">_xlfn.SWITCH(TRUE,
  $C268&lt;$Q$5,  $D$22,
  $C268&lt;$Q$6,  $D$23,
  $C268&lt;$Q$7,  $D$24,
  $C268&lt;$Q$8,  $D$25,
  $C268&lt;$Q$9,  $D$26,
  $C268&lt;$Q$10,  $D$27,
  $C268&lt;$Q$11,  $D$28,
  $C268&lt;$Q$12,  $D$29,
  $C268&lt;$Q$13,  $D$30,
  $C268&lt;100,  $D$31,
)</f>
        <v>6</v>
      </c>
      <c r="N268">
        <v>12.052378130065954</v>
      </c>
      <c r="O268">
        <v>3.5267458937494358</v>
      </c>
      <c r="P268">
        <v>9.1312704914863918</v>
      </c>
      <c r="Q268" s="129">
        <v>0.67365333571904251</v>
      </c>
      <c r="R268" s="244" cm="1">
        <f t="array" ref="R268">_xlfn.SWITCH(TRUE,
  $C268&lt;$Q$5,  $S$41*$C268+$T$41,
  $C268&lt;$Q$6,  $S$42*$C268+$T$42,
  $C268&lt;$Q$7,  $S$43*$C268+$T$43,
  $C268&lt;$Q$8, $S$44*$C268+$T$44,
  $C268&lt;$Q$9, $S$45*$C268+$T$45,
  $C268&lt;$Q$10, $S$46*$C268+$T$46,
  $C268&lt;$Q$11,  $S$47*$C268+$T$47,
  $C268&lt;$Q$12, $S$48*$C268+$T$48,
  $S$49*$C268+$T$49
)</f>
        <v>0.57082568807339451</v>
      </c>
      <c r="S268" cm="1">
        <f t="array" ref="S268">_xlfn.SWITCH(TRUE,
  $C268&lt;$Q$5,  $U$41*$C268+$V$41,
  $C268&lt;$Q$6,  $U$42*$C268+$V$42,
  $C268&lt;$Q$7,  $U$43*$C268+$V$43,
  $C268&lt;$Q$8, $U$44*$C268+$V$44,
  $C268&lt;$Q$9, $U$45*$C268+$V$45,
  $C268&lt;$Q$10, $U$46*$C268+$V$46,
  $C268&lt;$Q$11,  $U$47*$C268+$V$47,
  $C268&lt;$Q$12, $U$48*$C268+$V$48,
  $U$49*$C268+$V$49
)</f>
        <v>3.501834862385321</v>
      </c>
      <c r="T268">
        <f t="shared" si="14"/>
        <v>0</v>
      </c>
      <c r="U268">
        <f t="shared" si="15"/>
        <v>0.77064220183486232</v>
      </c>
      <c r="V268">
        <f t="shared" si="16"/>
        <v>0.22935779816513766</v>
      </c>
      <c r="W268">
        <f t="shared" si="17"/>
        <v>0</v>
      </c>
      <c r="X268">
        <f t="shared" si="18"/>
        <v>0</v>
      </c>
      <c r="Y268">
        <f t="shared" si="19"/>
        <v>6</v>
      </c>
      <c r="Z268">
        <v>11.293798468578396</v>
      </c>
      <c r="AA268">
        <v>2.9162613538522084</v>
      </c>
      <c r="AB268">
        <v>9.1370778825140082</v>
      </c>
      <c r="AC268" s="129">
        <v>0.62079502250458973</v>
      </c>
      <c r="AD268" s="244" cm="1">
        <f t="array" ref="AD268">_xlfn.SWITCH(TRUE,
  $C268&lt;$Q$5,  $S$61*$C268+$T$61,
  $C268&lt;$Q$6,  $S$62*$C268+$T$62,
  $C268&lt;$Q$7,  $S$63*$C268+$T$63,
  $C268&lt;$Q$8, $S$64*$C268+$T$64,
  $C268&lt;$Q$9, $S$65*$C268+$T$65,
  $C268&lt;$Q$10, $S$66*$C268+$T$66,
  $C268&lt;$Q$11,  $S$67*$C268+$T$67,
  $C268&lt;$Q$12, $S$68*$C268+$T$68,
  $S$69*$C268+$T$69
)</f>
        <v>0.61935779816513759</v>
      </c>
      <c r="AE268" cm="1">
        <f t="array" ref="AE268">_xlfn.SWITCH(TRUE,
  $C268&lt;$Q$5,  $U$61*$C268+$V$61,
  $C268&lt;$Q$6,  $U$62*$C268+$V$62,
  $C268&lt;$Q$7,  $U$63*$C268+$V$63,
  $C268&lt;$Q$8, $U$64*$C268+$V$64,
  $C268&lt;$Q$9, $U$65*$C268+$V$65,
  $C268&lt;$Q$10, $U$66*$C268+$V$66,
  $C268&lt;$Q$11,  $U$67*$C268+$V$67,
  $C268&lt;$Q$12, $U$68*$C268+$V$68,
  $U$69*$C268+$V$69
)</f>
        <v>3.501834862385321</v>
      </c>
      <c r="AF268" cm="1">
        <f t="array" ref="AF268">_xlfn.LET(
  _xlpm.y,$C268,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8" cm="1">
        <f t="array" ref="AG268">_xlfn.LET(
  _xlpm.y,$C268,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0.77064220183486232</v>
      </c>
      <c r="AH268" cm="1">
        <f t="array" ref="AH268">_xlfn.LET(
  _xlpm.y,$C268,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0.22935779816513766</v>
      </c>
      <c r="AI268" cm="1">
        <f t="array" ref="AI268">_xlfn.LET(
  _xlpm.y,$C268,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8" cm="1">
        <f t="array" ref="AJ268">_xlfn.LET(
  _xlpm.y,$C268,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8">
        <f t="shared" si="20"/>
        <v>6</v>
      </c>
      <c r="AL268">
        <v>11.114945021204488</v>
      </c>
      <c r="AM268">
        <v>2.7012726722854916</v>
      </c>
      <c r="AN268">
        <v>9.1381434954448331</v>
      </c>
      <c r="AO268">
        <v>0.61185753246631258</v>
      </c>
    </row>
    <row r="269" spans="2:41">
      <c r="B269">
        <f>'主翼(型紙出力)'!B112</f>
        <v>61</v>
      </c>
      <c r="C269">
        <f>INT(('主翼(型紙出力)'!C112)*1000)/1000</f>
        <v>9.3249999999999993</v>
      </c>
      <c r="D269">
        <f>'主翼(型紙出力)'!E112</f>
        <v>0.15</v>
      </c>
      <c r="E269">
        <f>'主翼(重量推算)'!CE109</f>
        <v>1.060907585978238</v>
      </c>
      <c r="F269" s="244" cm="1">
        <f t="array" ref="F269">_xlfn.SWITCH(TRUE,
  $C269&lt;$Q$5,  $S$22*$C269+$T$22,
  $C269&lt;$Q$6,  $S$23*$C269+$T$23,
  $C269&lt;$Q$7,  $S$24*$C269+$T$24,
  $C269&lt;$Q$8, $S$25*$C269+$T$25,
  $C269&lt;$Q$9, $S$26*$C269+$T$26,
  $C269&lt;$Q$10, $S$27*$C269+$T$27,
  $C269&lt;$Q$11,  $S$28*$C269+$T$28,
  $C269&lt;$Q$12, $S$29*$C269+$T$29,
  $S$30*$C269+$T$30
)</f>
        <v>0.67862385321100915</v>
      </c>
      <c r="G269" cm="1">
        <f t="array" ref="G269">_xlfn.SWITCH(TRUE,
  $C269&lt;$Q$5,  $U$22*$C269+$V$22,
  $C269&lt;$Q$6,  $U$23*$C269+$V$23,
  $C269&lt;$Q$7,  $U$24*$C269+$V$24,
  $C269&lt;$Q$8, $U$25*$C269+$V$25,
  $C269&lt;$Q$9, $U$26*$C269+$V$26,
  $C269&lt;$Q$10, $U$27*$C269+$V$27,
  $C269&lt;$Q$11,  $U$28*$C269+$V$28,
  $C269&lt;$Q$12, $U$29*$C269+$V$29,
  $U$30*$C269+$V$30
)</f>
        <v>3.2293577981651382</v>
      </c>
      <c r="H269" cm="1">
        <f t="array" ref="H269">_xlfn.LET(
  _xlpm.y,$C269,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9" cm="1">
        <f t="array" ref="I269">_xlfn.LET(
  _xlpm.y,$C269,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0.71559633027522984</v>
      </c>
      <c r="J269" cm="1">
        <f t="array" ref="J269">_xlfn.LET(
  _xlpm.y,$C269,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0.28440366972477016</v>
      </c>
      <c r="K269" cm="1">
        <f t="array" ref="K269">_xlfn.LET(
  _xlpm.y,$C269,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9" cm="1">
        <f t="array" ref="L269">_xlfn.LET(
  _xlpm.y,$C269,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9" cm="1">
        <f t="array" ref="M269">_xlfn.SWITCH(TRUE,
  $C269&lt;$Q$5,  $D$22,
  $C269&lt;$Q$6,  $D$23,
  $C269&lt;$Q$7,  $D$24,
  $C269&lt;$Q$8,  $D$25,
  $C269&lt;$Q$9,  $D$26,
  $C269&lt;$Q$10,  $D$27,
  $C269&lt;$Q$11,  $D$28,
  $C269&lt;$Q$12,  $D$29,
  $C269&lt;$Q$13,  $D$30,
  $C269&lt;100,  $D$31,
)</f>
        <v>6</v>
      </c>
      <c r="N269">
        <v>12.142025749875593</v>
      </c>
      <c r="O269">
        <v>3.4613090396552155</v>
      </c>
      <c r="P269">
        <v>9.2779640602716729</v>
      </c>
      <c r="Q269" s="129">
        <v>0.70497420539148203</v>
      </c>
      <c r="R269" s="244" cm="1">
        <f t="array" ref="R269">_xlfn.SWITCH(TRUE,
  $C269&lt;$Q$5,  $S$41*$C269+$T$41,
  $C269&lt;$Q$6,  $S$42*$C269+$T$42,
  $C269&lt;$Q$7,  $S$43*$C269+$T$43,
  $C269&lt;$Q$8, $S$44*$C269+$T$44,
  $C269&lt;$Q$9, $S$45*$C269+$T$45,
  $C269&lt;$Q$10, $S$46*$C269+$T$46,
  $C269&lt;$Q$11,  $S$47*$C269+$T$47,
  $C269&lt;$Q$12, $S$48*$C269+$T$48,
  $S$49*$C269+$T$49
)</f>
        <v>0.56862385321100928</v>
      </c>
      <c r="S269" cm="1">
        <f t="array" ref="S269">_xlfn.SWITCH(TRUE,
  $C269&lt;$Q$5,  $U$41*$C269+$V$41,
  $C269&lt;$Q$6,  $U$42*$C269+$V$42,
  $C269&lt;$Q$7,  $U$43*$C269+$V$43,
  $C269&lt;$Q$8, $U$44*$C269+$V$44,
  $C269&lt;$Q$9, $U$45*$C269+$V$45,
  $C269&lt;$Q$10, $U$46*$C269+$V$46,
  $C269&lt;$Q$11,  $U$47*$C269+$V$47,
  $C269&lt;$Q$12, $U$48*$C269+$V$48,
  $U$49*$C269+$V$49
)</f>
        <v>3.4302752293577985</v>
      </c>
      <c r="T269">
        <f t="shared" si="14"/>
        <v>0</v>
      </c>
      <c r="U269">
        <f t="shared" si="15"/>
        <v>0.71559633027522984</v>
      </c>
      <c r="V269">
        <f t="shared" si="16"/>
        <v>0.28440366972477016</v>
      </c>
      <c r="W269">
        <f t="shared" si="17"/>
        <v>0</v>
      </c>
      <c r="X269">
        <f t="shared" si="18"/>
        <v>0</v>
      </c>
      <c r="Y269">
        <f t="shared" si="19"/>
        <v>6</v>
      </c>
      <c r="Z269">
        <v>11.366632903997722</v>
      </c>
      <c r="AA269">
        <v>2.8438951891924908</v>
      </c>
      <c r="AB269">
        <v>9.2841732617319757</v>
      </c>
      <c r="AC269" s="129">
        <v>0.65017102312962849</v>
      </c>
      <c r="AD269" s="244" cm="1">
        <f t="array" ref="AD269">_xlfn.SWITCH(TRUE,
  $C269&lt;$Q$5,  $S$61*$C269+$T$61,
  $C269&lt;$Q$6,  $S$62*$C269+$T$62,
  $C269&lt;$Q$7,  $S$63*$C269+$T$63,
  $C269&lt;$Q$8, $S$64*$C269+$T$64,
  $C269&lt;$Q$9, $S$65*$C269+$T$65,
  $C269&lt;$Q$10, $S$66*$C269+$T$66,
  $C269&lt;$Q$11,  $S$67*$C269+$T$67,
  $C269&lt;$Q$12, $S$68*$C269+$T$68,
  $S$69*$C269+$T$69
)</f>
        <v>0.61440366972477067</v>
      </c>
      <c r="AE269" cm="1">
        <f t="array" ref="AE269">_xlfn.SWITCH(TRUE,
  $C269&lt;$Q$5,  $U$61*$C269+$V$61,
  $C269&lt;$Q$6,  $U$62*$C269+$V$62,
  $C269&lt;$Q$7,  $U$63*$C269+$V$63,
  $C269&lt;$Q$8, $U$64*$C269+$V$64,
  $C269&lt;$Q$9, $U$65*$C269+$V$65,
  $C269&lt;$Q$10, $U$66*$C269+$V$66,
  $C269&lt;$Q$11,  $U$67*$C269+$V$67,
  $C269&lt;$Q$12, $U$68*$C269+$V$68,
  $U$69*$C269+$V$69
)</f>
        <v>3.4302752293577985</v>
      </c>
      <c r="AF269" cm="1">
        <f t="array" ref="AF269">_xlfn.LET(
  _xlpm.y,$C269,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9" cm="1">
        <f t="array" ref="AG269">_xlfn.LET(
  _xlpm.y,$C269,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0.71559633027522984</v>
      </c>
      <c r="AH269" cm="1">
        <f t="array" ref="AH269">_xlfn.LET(
  _xlpm.y,$C269,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0.28440366972477016</v>
      </c>
      <c r="AI269" cm="1">
        <f t="array" ref="AI269">_xlfn.LET(
  _xlpm.y,$C269,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9" cm="1">
        <f t="array" ref="AJ269">_xlfn.LET(
  _xlpm.y,$C269,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9">
        <f t="shared" si="20"/>
        <v>6</v>
      </c>
      <c r="AL269">
        <v>11.178798904918335</v>
      </c>
      <c r="AM269">
        <v>2.6272221757685794</v>
      </c>
      <c r="AN269">
        <v>9.2853298574269481</v>
      </c>
      <c r="AO269">
        <v>0.64077422049363819</v>
      </c>
    </row>
    <row r="270" spans="2:41">
      <c r="B270">
        <f>'主翼(型紙出力)'!B113</f>
        <v>62</v>
      </c>
      <c r="C270">
        <f>INT(('主翼(型紙出力)'!C113)*1000)/1000</f>
        <v>9.4749999999999996</v>
      </c>
      <c r="D270">
        <f>'主翼(型紙出力)'!E113</f>
        <v>0.15</v>
      </c>
      <c r="E270">
        <f>'主翼(重量推算)'!CE110</f>
        <v>1.0238830264337375</v>
      </c>
      <c r="F270" s="244" cm="1">
        <f t="array" ref="F270">_xlfn.SWITCH(TRUE,
  $C270&lt;$Q$5,  $S$22*$C270+$T$22,
  $C270&lt;$Q$6,  $S$23*$C270+$T$23,
  $C270&lt;$Q$7,  $S$24*$C270+$T$24,
  $C270&lt;$Q$8, $S$25*$C270+$T$25,
  $C270&lt;$Q$9, $S$26*$C270+$T$26,
  $C270&lt;$Q$10, $S$27*$C270+$T$27,
  $C270&lt;$Q$11,  $S$28*$C270+$T$28,
  $C270&lt;$Q$12, $S$29*$C270+$T$29,
  $S$30*$C270+$T$30
)</f>
        <v>0.67642201834862381</v>
      </c>
      <c r="G270" cm="1">
        <f t="array" ref="G270">_xlfn.SWITCH(TRUE,
  $C270&lt;$Q$5,  $U$22*$C270+$V$22,
  $C270&lt;$Q$6,  $U$23*$C270+$V$23,
  $C270&lt;$Q$7,  $U$24*$C270+$V$24,
  $C270&lt;$Q$8, $U$25*$C270+$V$25,
  $C270&lt;$Q$9, $U$26*$C270+$V$26,
  $C270&lt;$Q$10, $U$27*$C270+$V$27,
  $C270&lt;$Q$11,  $U$28*$C270+$V$28,
  $C270&lt;$Q$12, $U$29*$C270+$V$29,
  $U$30*$C270+$V$30
)</f>
        <v>3.1963302752293585</v>
      </c>
      <c r="H270" cm="1">
        <f t="array" ref="H270">_xlfn.LET(
  _xlpm.y,$C270,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0" cm="1">
        <f t="array" ref="I270">_xlfn.LET(
  _xlpm.y,$C270,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0.6605504587155967</v>
      </c>
      <c r="J270" cm="1">
        <f t="array" ref="J270">_xlfn.LET(
  _xlpm.y,$C270,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0.3394495412844033</v>
      </c>
      <c r="K270" cm="1">
        <f t="array" ref="K270">_xlfn.LET(
  _xlpm.y,$C270,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0" cm="1">
        <f t="array" ref="L270">_xlfn.LET(
  _xlpm.y,$C270,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0" cm="1">
        <f t="array" ref="M270">_xlfn.SWITCH(TRUE,
  $C270&lt;$Q$5,  $D$22,
  $C270&lt;$Q$6,  $D$23,
  $C270&lt;$Q$7,  $D$24,
  $C270&lt;$Q$8,  $D$25,
  $C270&lt;$Q$9,  $D$26,
  $C270&lt;$Q$10,  $D$27,
  $C270&lt;$Q$11,  $D$28,
  $C270&lt;$Q$12,  $D$29,
  $C270&lt;$Q$13,  $D$30,
  $C270&lt;100,  $D$31,
)</f>
        <v>6</v>
      </c>
      <c r="N270">
        <v>12.229088836612664</v>
      </c>
      <c r="O270">
        <v>3.3947937188095989</v>
      </c>
      <c r="P270">
        <v>9.4246084434378474</v>
      </c>
      <c r="Q270" s="129">
        <v>0.73652456015672085</v>
      </c>
      <c r="R270" s="244" cm="1">
        <f t="array" ref="R270">_xlfn.SWITCH(TRUE,
  $C270&lt;$Q$5,  $S$41*$C270+$T$41,
  $C270&lt;$Q$6,  $S$42*$C270+$T$42,
  $C270&lt;$Q$7,  $S$43*$C270+$T$43,
  $C270&lt;$Q$8, $S$44*$C270+$T$44,
  $C270&lt;$Q$9, $S$45*$C270+$T$45,
  $C270&lt;$Q$10, $S$46*$C270+$T$46,
  $C270&lt;$Q$11,  $S$47*$C270+$T$47,
  $C270&lt;$Q$12, $S$48*$C270+$T$48,
  $S$49*$C270+$T$49
)</f>
        <v>0.56642201834862393</v>
      </c>
      <c r="S270" cm="1">
        <f t="array" ref="S270">_xlfn.SWITCH(TRUE,
  $C270&lt;$Q$5,  $U$41*$C270+$V$41,
  $C270&lt;$Q$6,  $U$42*$C270+$V$42,
  $C270&lt;$Q$7,  $U$43*$C270+$V$43,
  $C270&lt;$Q$8, $U$44*$C270+$V$44,
  $C270&lt;$Q$9, $U$45*$C270+$V$45,
  $C270&lt;$Q$10, $U$46*$C270+$V$46,
  $C270&lt;$Q$11,  $U$47*$C270+$V$47,
  $C270&lt;$Q$12, $U$48*$C270+$V$48,
  $U$49*$C270+$V$49
)</f>
        <v>3.3587155963302759</v>
      </c>
      <c r="T270">
        <f t="shared" si="14"/>
        <v>0</v>
      </c>
      <c r="U270">
        <f t="shared" si="15"/>
        <v>0.6605504587155967</v>
      </c>
      <c r="V270">
        <f t="shared" si="16"/>
        <v>0.3394495412844033</v>
      </c>
      <c r="W270">
        <f t="shared" si="17"/>
        <v>0</v>
      </c>
      <c r="X270">
        <f t="shared" si="18"/>
        <v>0</v>
      </c>
      <c r="Y270">
        <f t="shared" si="19"/>
        <v>6</v>
      </c>
      <c r="Z270">
        <v>11.437308931014</v>
      </c>
      <c r="AA270">
        <v>2.7705197252565004</v>
      </c>
      <c r="AB270">
        <v>9.431231179317777</v>
      </c>
      <c r="AC270" s="129">
        <v>0.67973398771926108</v>
      </c>
      <c r="AD270" s="244" cm="1">
        <f t="array" ref="AD270">_xlfn.SWITCH(TRUE,
  $C270&lt;$Q$5,  $S$61*$C270+$T$61,
  $C270&lt;$Q$6,  $S$62*$C270+$T$62,
  $C270&lt;$Q$7,  $S$63*$C270+$T$63,
  $C270&lt;$Q$8, $S$64*$C270+$T$64,
  $C270&lt;$Q$9, $S$65*$C270+$T$65,
  $C270&lt;$Q$10, $S$66*$C270+$T$66,
  $C270&lt;$Q$11,  $S$67*$C270+$T$67,
  $C270&lt;$Q$12, $S$68*$C270+$T$68,
  $S$69*$C270+$T$69
)</f>
        <v>0.60944954128440365</v>
      </c>
      <c r="AE270" cm="1">
        <f t="array" ref="AE270">_xlfn.SWITCH(TRUE,
  $C270&lt;$Q$5,  $U$61*$C270+$V$61,
  $C270&lt;$Q$6,  $U$62*$C270+$V$62,
  $C270&lt;$Q$7,  $U$63*$C270+$V$63,
  $C270&lt;$Q$8, $U$64*$C270+$V$64,
  $C270&lt;$Q$9, $U$65*$C270+$V$65,
  $C270&lt;$Q$10, $U$66*$C270+$V$66,
  $C270&lt;$Q$11,  $U$67*$C270+$V$67,
  $C270&lt;$Q$12, $U$68*$C270+$V$68,
  $U$69*$C270+$V$69
)</f>
        <v>3.3587155963302759</v>
      </c>
      <c r="AF270" cm="1">
        <f t="array" ref="AF270">_xlfn.LET(
  _xlpm.y,$C270,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0" cm="1">
        <f t="array" ref="AG270">_xlfn.LET(
  _xlpm.y,$C270,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0.6605504587155967</v>
      </c>
      <c r="AH270" cm="1">
        <f t="array" ref="AH270">_xlfn.LET(
  _xlpm.y,$C270,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0.3394495412844033</v>
      </c>
      <c r="AI270" cm="1">
        <f t="array" ref="AI270">_xlfn.LET(
  _xlpm.y,$C270,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0" cm="1">
        <f t="array" ref="AJ270">_xlfn.LET(
  _xlpm.y,$C270,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0">
        <f t="shared" si="20"/>
        <v>6</v>
      </c>
      <c r="AL270">
        <v>11.240404863610145</v>
      </c>
      <c r="AM270">
        <v>2.5515530509246602</v>
      </c>
      <c r="AN270">
        <v>9.4324839015044617</v>
      </c>
      <c r="AO270">
        <v>0.66985492391761114</v>
      </c>
    </row>
    <row r="271" spans="2:41">
      <c r="B271">
        <f>'主翼(型紙出力)'!B114</f>
        <v>63</v>
      </c>
      <c r="C271">
        <f>INT(('主翼(型紙出力)'!C114)*1000)/1000</f>
        <v>9.625</v>
      </c>
      <c r="D271">
        <f>'主翼(型紙出力)'!E114</f>
        <v>0.15</v>
      </c>
      <c r="E271">
        <f>'主翼(重量推算)'!CE111</f>
        <v>1.0282651253101653</v>
      </c>
      <c r="F271" s="244" cm="1">
        <f t="array" ref="F271">_xlfn.SWITCH(TRUE,
  $C271&lt;$Q$5,  $S$22*$C271+$T$22,
  $C271&lt;$Q$6,  $S$23*$C271+$T$23,
  $C271&lt;$Q$7,  $S$24*$C271+$T$24,
  $C271&lt;$Q$8, $S$25*$C271+$T$25,
  $C271&lt;$Q$9, $S$26*$C271+$T$26,
  $C271&lt;$Q$10, $S$27*$C271+$T$27,
  $C271&lt;$Q$11,  $S$28*$C271+$T$28,
  $C271&lt;$Q$12, $S$29*$C271+$T$29,
  $S$30*$C271+$T$30
)</f>
        <v>0.67422018348623847</v>
      </c>
      <c r="G271" cm="1">
        <f t="array" ref="G271">_xlfn.SWITCH(TRUE,
  $C271&lt;$Q$5,  $U$22*$C271+$V$22,
  $C271&lt;$Q$6,  $U$23*$C271+$V$23,
  $C271&lt;$Q$7,  $U$24*$C271+$V$24,
  $C271&lt;$Q$8, $U$25*$C271+$V$25,
  $C271&lt;$Q$9, $U$26*$C271+$V$26,
  $C271&lt;$Q$10, $U$27*$C271+$V$27,
  $C271&lt;$Q$11,  $U$28*$C271+$V$28,
  $C271&lt;$Q$12, $U$29*$C271+$V$29,
  $U$30*$C271+$V$30
)</f>
        <v>3.1633027522935784</v>
      </c>
      <c r="H271" cm="1">
        <f t="array" ref="H271">_xlfn.LET(
  _xlpm.y,$C271,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1" cm="1">
        <f t="array" ref="I271">_xlfn.LET(
  _xlpm.y,$C271,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0.60550458715596345</v>
      </c>
      <c r="J271" cm="1">
        <f t="array" ref="J271">_xlfn.LET(
  _xlpm.y,$C271,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0.3944954128440365</v>
      </c>
      <c r="K271" cm="1">
        <f t="array" ref="K271">_xlfn.LET(
  _xlpm.y,$C271,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1" cm="1">
        <f t="array" ref="L271">_xlfn.LET(
  _xlpm.y,$C271,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1" cm="1">
        <f t="array" ref="M271">_xlfn.SWITCH(TRUE,
  $C271&lt;$Q$5,  $D$22,
  $C271&lt;$Q$6,  $D$23,
  $C271&lt;$Q$7,  $D$24,
  $C271&lt;$Q$8,  $D$25,
  $C271&lt;$Q$9,  $D$26,
  $C271&lt;$Q$10,  $D$27,
  $C271&lt;$Q$11,  $D$28,
  $C271&lt;$Q$12,  $D$29,
  $C271&lt;$Q$13,  $D$30,
  $C271&lt;100,  $D$31,
)</f>
        <v>6</v>
      </c>
      <c r="N271">
        <v>12.313386967968407</v>
      </c>
      <c r="O271">
        <v>3.3270040697660086</v>
      </c>
      <c r="P271">
        <v>9.5712047153741313</v>
      </c>
      <c r="Q271" s="129">
        <v>0.76829771005381287</v>
      </c>
      <c r="R271" s="244" cm="1">
        <f t="array" ref="R271">_xlfn.SWITCH(TRUE,
  $C271&lt;$Q$5,  $S$41*$C271+$T$41,
  $C271&lt;$Q$6,  $S$42*$C271+$T$42,
  $C271&lt;$Q$7,  $S$43*$C271+$T$43,
  $C271&lt;$Q$8, $S$44*$C271+$T$44,
  $C271&lt;$Q$9, $S$45*$C271+$T$45,
  $C271&lt;$Q$10, $S$46*$C271+$T$46,
  $C271&lt;$Q$11,  $S$47*$C271+$T$47,
  $C271&lt;$Q$12, $S$48*$C271+$T$48,
  $S$49*$C271+$T$49
)</f>
        <v>0.56422018348623859</v>
      </c>
      <c r="S271" cm="1">
        <f t="array" ref="S271">_xlfn.SWITCH(TRUE,
  $C271&lt;$Q$5,  $U$41*$C271+$V$41,
  $C271&lt;$Q$6,  $U$42*$C271+$V$42,
  $C271&lt;$Q$7,  $U$43*$C271+$V$43,
  $C271&lt;$Q$8, $U$44*$C271+$V$44,
  $C271&lt;$Q$9, $U$45*$C271+$V$45,
  $C271&lt;$Q$10, $U$46*$C271+$V$46,
  $C271&lt;$Q$11,  $U$47*$C271+$V$47,
  $C271&lt;$Q$12, $U$48*$C271+$V$48,
  $U$49*$C271+$V$49
)</f>
        <v>3.2871559633027525</v>
      </c>
      <c r="T271">
        <f t="shared" si="14"/>
        <v>0</v>
      </c>
      <c r="U271">
        <f t="shared" si="15"/>
        <v>0.60550458715596345</v>
      </c>
      <c r="V271">
        <f t="shared" si="16"/>
        <v>0.3944954128440365</v>
      </c>
      <c r="W271">
        <f t="shared" si="17"/>
        <v>0</v>
      </c>
      <c r="X271">
        <f t="shared" si="18"/>
        <v>0</v>
      </c>
      <c r="Y271">
        <f t="shared" si="19"/>
        <v>6</v>
      </c>
      <c r="Z271">
        <v>11.505703809641602</v>
      </c>
      <c r="AA271">
        <v>2.6960886035086786</v>
      </c>
      <c r="AB271">
        <v>9.5782525182463711</v>
      </c>
      <c r="AC271" s="129">
        <v>0.70947833003243999</v>
      </c>
      <c r="AD271" s="244" cm="1">
        <f t="array" ref="AD271">_xlfn.SWITCH(TRUE,
  $C271&lt;$Q$5,  $S$61*$C271+$T$61,
  $C271&lt;$Q$6,  $S$62*$C271+$T$62,
  $C271&lt;$Q$7,  $S$63*$C271+$T$63,
  $C271&lt;$Q$8, $S$64*$C271+$T$64,
  $C271&lt;$Q$9, $S$65*$C271+$T$65,
  $C271&lt;$Q$10, $S$66*$C271+$T$66,
  $C271&lt;$Q$11,  $S$67*$C271+$T$67,
  $C271&lt;$Q$12, $S$68*$C271+$T$68,
  $S$69*$C271+$T$69
)</f>
        <v>0.60449541284403674</v>
      </c>
      <c r="AE271" cm="1">
        <f t="array" ref="AE271">_xlfn.SWITCH(TRUE,
  $C271&lt;$Q$5,  $U$61*$C271+$V$61,
  $C271&lt;$Q$6,  $U$62*$C271+$V$62,
  $C271&lt;$Q$7,  $U$63*$C271+$V$63,
  $C271&lt;$Q$8, $U$64*$C271+$V$64,
  $C271&lt;$Q$9, $U$65*$C271+$V$65,
  $C271&lt;$Q$10, $U$66*$C271+$V$66,
  $C271&lt;$Q$11,  $U$67*$C271+$V$67,
  $C271&lt;$Q$12, $U$68*$C271+$V$68,
  $U$69*$C271+$V$69
)</f>
        <v>3.2871559633027525</v>
      </c>
      <c r="AF271" cm="1">
        <f t="array" ref="AF271">_xlfn.LET(
  _xlpm.y,$C271,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1" cm="1">
        <f t="array" ref="AG271">_xlfn.LET(
  _xlpm.y,$C271,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0.60550458715596345</v>
      </c>
      <c r="AH271" cm="1">
        <f t="array" ref="AH271">_xlfn.LET(
  _xlpm.y,$C271,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0.3944954128440365</v>
      </c>
      <c r="AI271" cm="1">
        <f t="array" ref="AI271">_xlfn.LET(
  _xlpm.y,$C271,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1" cm="1">
        <f t="array" ref="AJ271">_xlfn.LET(
  _xlpm.y,$C271,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1">
        <f t="shared" si="20"/>
        <v>6</v>
      </c>
      <c r="AL271">
        <v>11.299685192300114</v>
      </c>
      <c r="AM271">
        <v>2.4742664593084509</v>
      </c>
      <c r="AN271">
        <v>9.5796065921724693</v>
      </c>
      <c r="AO271">
        <v>0.69909383447538509</v>
      </c>
    </row>
    <row r="272" spans="2:41">
      <c r="B272">
        <f>'主翼(型紙出力)'!B115</f>
        <v>64</v>
      </c>
      <c r="C272">
        <f>INT(('主翼(型紙出力)'!C115)*1000)/1000</f>
        <v>9.7750000000000004</v>
      </c>
      <c r="D272">
        <f>'主翼(型紙出力)'!E115</f>
        <v>0.15</v>
      </c>
      <c r="E272">
        <f>'主翼(重量推算)'!CE112</f>
        <v>0.99178464727954607</v>
      </c>
      <c r="F272" s="244" cm="1">
        <f t="array" ref="F272">_xlfn.SWITCH(TRUE,
  $C272&lt;$Q$5,  $S$22*$C272+$T$22,
  $C272&lt;$Q$6,  $S$23*$C272+$T$23,
  $C272&lt;$Q$7,  $S$24*$C272+$T$24,
  $C272&lt;$Q$8, $S$25*$C272+$T$25,
  $C272&lt;$Q$9, $S$26*$C272+$T$26,
  $C272&lt;$Q$10, $S$27*$C272+$T$27,
  $C272&lt;$Q$11,  $S$28*$C272+$T$28,
  $C272&lt;$Q$12, $S$29*$C272+$T$29,
  $S$30*$C272+$T$30
)</f>
        <v>0.67201834862385312</v>
      </c>
      <c r="G272" cm="1">
        <f t="array" ref="G272">_xlfn.SWITCH(TRUE,
  $C272&lt;$Q$5,  $U$22*$C272+$V$22,
  $C272&lt;$Q$6,  $U$23*$C272+$V$23,
  $C272&lt;$Q$7,  $U$24*$C272+$V$24,
  $C272&lt;$Q$8, $U$25*$C272+$V$25,
  $C272&lt;$Q$9, $U$26*$C272+$V$26,
  $C272&lt;$Q$10, $U$27*$C272+$V$27,
  $C272&lt;$Q$11,  $U$28*$C272+$V$28,
  $C272&lt;$Q$12, $U$29*$C272+$V$29,
  $U$30*$C272+$V$30
)</f>
        <v>3.1302752293577987</v>
      </c>
      <c r="H272" cm="1">
        <f t="array" ref="H272">_xlfn.LET(
  _xlpm.y,$C272,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2" cm="1">
        <f t="array" ref="I272">_xlfn.LET(
  _xlpm.y,$C272,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0.55045871559633031</v>
      </c>
      <c r="J272" cm="1">
        <f t="array" ref="J272">_xlfn.LET(
  _xlpm.y,$C272,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0.44954128440366964</v>
      </c>
      <c r="K272" cm="1">
        <f t="array" ref="K272">_xlfn.LET(
  _xlpm.y,$C272,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2" cm="1">
        <f t="array" ref="L272">_xlfn.LET(
  _xlpm.y,$C272,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2" cm="1">
        <f t="array" ref="M272">_xlfn.SWITCH(TRUE,
  $C272&lt;$Q$5,  $D$22,
  $C272&lt;$Q$6,  $D$23,
  $C272&lt;$Q$7,  $D$24,
  $C272&lt;$Q$8,  $D$25,
  $C272&lt;$Q$9,  $D$26,
  $C272&lt;$Q$10,  $D$27,
  $C272&lt;$Q$11,  $D$28,
  $C272&lt;$Q$12,  $D$29,
  $C272&lt;$Q$13,  $D$30,
  $C272&lt;100,  $D$31,
)</f>
        <v>6</v>
      </c>
      <c r="N272">
        <v>12.394733144313211</v>
      </c>
      <c r="O272">
        <v>3.2577208659304588</v>
      </c>
      <c r="P272">
        <v>9.7177540814631769</v>
      </c>
      <c r="Q272" s="129">
        <v>0.80028650963896508</v>
      </c>
      <c r="R272" s="244" cm="1">
        <f t="array" ref="R272">_xlfn.SWITCH(TRUE,
  $C272&lt;$Q$5,  $S$41*$C272+$T$41,
  $C272&lt;$Q$6,  $S$42*$C272+$T$42,
  $C272&lt;$Q$7,  $S$43*$C272+$T$43,
  $C272&lt;$Q$8, $S$44*$C272+$T$44,
  $C272&lt;$Q$9, $S$45*$C272+$T$45,
  $C272&lt;$Q$10, $S$46*$C272+$T$46,
  $C272&lt;$Q$11,  $S$47*$C272+$T$47,
  $C272&lt;$Q$12, $S$48*$C272+$T$48,
  $S$49*$C272+$T$49
)</f>
        <v>0.56201834862385325</v>
      </c>
      <c r="S272" cm="1">
        <f t="array" ref="S272">_xlfn.SWITCH(TRUE,
  $C272&lt;$Q$5,  $U$41*$C272+$V$41,
  $C272&lt;$Q$6,  $U$42*$C272+$V$42,
  $C272&lt;$Q$7,  $U$43*$C272+$V$43,
  $C272&lt;$Q$8, $U$44*$C272+$V$44,
  $C272&lt;$Q$9, $U$45*$C272+$V$45,
  $C272&lt;$Q$10, $U$46*$C272+$V$46,
  $C272&lt;$Q$11,  $U$47*$C272+$V$47,
  $C272&lt;$Q$12, $U$48*$C272+$V$48,
  $U$49*$C272+$V$49
)</f>
        <v>3.21559633027523</v>
      </c>
      <c r="T272">
        <f t="shared" si="14"/>
        <v>0</v>
      </c>
      <c r="U272">
        <f t="shared" si="15"/>
        <v>0.55045871559633031</v>
      </c>
      <c r="V272">
        <f t="shared" si="16"/>
        <v>0.44954128440366964</v>
      </c>
      <c r="W272">
        <f t="shared" si="17"/>
        <v>0</v>
      </c>
      <c r="X272">
        <f t="shared" si="18"/>
        <v>0</v>
      </c>
      <c r="Y272">
        <f t="shared" si="19"/>
        <v>6</v>
      </c>
      <c r="Z272">
        <v>11.571690495416064</v>
      </c>
      <c r="AA272">
        <v>2.6205533925707214</v>
      </c>
      <c r="AB272">
        <v>9.7252382461417515</v>
      </c>
      <c r="AC272" s="129">
        <v>0.73939815281040866</v>
      </c>
      <c r="AD272" s="244" cm="1">
        <f t="array" ref="AD272">_xlfn.SWITCH(TRUE,
  $C272&lt;$Q$5,  $S$61*$C272+$T$61,
  $C272&lt;$Q$6,  $S$62*$C272+$T$62,
  $C272&lt;$Q$7,  $S$63*$C272+$T$63,
  $C272&lt;$Q$8, $S$64*$C272+$T$64,
  $C272&lt;$Q$9, $S$65*$C272+$T$65,
  $C272&lt;$Q$10, $S$66*$C272+$T$66,
  $C272&lt;$Q$11,  $S$67*$C272+$T$67,
  $C272&lt;$Q$12, $S$68*$C272+$T$68,
  $S$69*$C272+$T$69
)</f>
        <v>0.59954128440366972</v>
      </c>
      <c r="AE272" cm="1">
        <f t="array" ref="AE272">_xlfn.SWITCH(TRUE,
  $C272&lt;$Q$5,  $U$61*$C272+$V$61,
  $C272&lt;$Q$6,  $U$62*$C272+$V$62,
  $C272&lt;$Q$7,  $U$63*$C272+$V$63,
  $C272&lt;$Q$8, $U$64*$C272+$V$64,
  $C272&lt;$Q$9, $U$65*$C272+$V$65,
  $C272&lt;$Q$10, $U$66*$C272+$V$66,
  $C272&lt;$Q$11,  $U$67*$C272+$V$67,
  $C272&lt;$Q$12, $U$68*$C272+$V$68,
  $U$69*$C272+$V$69
)</f>
        <v>3.21559633027523</v>
      </c>
      <c r="AF272" cm="1">
        <f t="array" ref="AF272">_xlfn.LET(
  _xlpm.y,$C272,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2" cm="1">
        <f t="array" ref="AG272">_xlfn.LET(
  _xlpm.y,$C272,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0.55045871559633031</v>
      </c>
      <c r="AH272" cm="1">
        <f t="array" ref="AH272">_xlfn.LET(
  _xlpm.y,$C272,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0.44954128440366964</v>
      </c>
      <c r="AI272" cm="1">
        <f t="array" ref="AI272">_xlfn.LET(
  _xlpm.y,$C272,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2" cm="1">
        <f t="array" ref="AJ272">_xlfn.LET(
  _xlpm.y,$C272,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2">
        <f t="shared" si="20"/>
        <v>6</v>
      </c>
      <c r="AL272">
        <v>11.356560788892541</v>
      </c>
      <c r="AM272">
        <v>2.3953722270536937</v>
      </c>
      <c r="AN272">
        <v>9.7266989524441225</v>
      </c>
      <c r="AO272">
        <v>0.72848494792340079</v>
      </c>
    </row>
    <row r="273" spans="2:41">
      <c r="B273">
        <f>'主翼(型紙出力)'!B116</f>
        <v>65</v>
      </c>
      <c r="C273">
        <f>INT(('主翼(型紙出力)'!C116)*1000)/1000</f>
        <v>9.9250000000000007</v>
      </c>
      <c r="D273">
        <f>'主翼(型紙出力)'!E116</f>
        <v>0.15</v>
      </c>
      <c r="E273">
        <f>'主翼(重量推算)'!CE113</f>
        <v>0.99565808757470142</v>
      </c>
      <c r="F273" s="244" cm="1">
        <f t="array" ref="F273">_xlfn.SWITCH(TRUE,
  $C273&lt;$Q$5,  $S$22*$C273+$T$22,
  $C273&lt;$Q$6,  $S$23*$C273+$T$23,
  $C273&lt;$Q$7,  $S$24*$C273+$T$24,
  $C273&lt;$Q$8, $S$25*$C273+$T$25,
  $C273&lt;$Q$9, $S$26*$C273+$T$26,
  $C273&lt;$Q$10, $S$27*$C273+$T$27,
  $C273&lt;$Q$11,  $S$28*$C273+$T$28,
  $C273&lt;$Q$12, $S$29*$C273+$T$29,
  $S$30*$C273+$T$30
)</f>
        <v>0.66981651376146778</v>
      </c>
      <c r="G273" cm="1">
        <f t="array" ref="G273">_xlfn.SWITCH(TRUE,
  $C273&lt;$Q$5,  $U$22*$C273+$V$22,
  $C273&lt;$Q$6,  $U$23*$C273+$V$23,
  $C273&lt;$Q$7,  $U$24*$C273+$V$24,
  $C273&lt;$Q$8, $U$25*$C273+$V$25,
  $C273&lt;$Q$9, $U$26*$C273+$V$26,
  $C273&lt;$Q$10, $U$27*$C273+$V$27,
  $C273&lt;$Q$11,  $U$28*$C273+$V$28,
  $C273&lt;$Q$12, $U$29*$C273+$V$29,
  $U$30*$C273+$V$30
)</f>
        <v>3.0972477064220185</v>
      </c>
      <c r="H273" cm="1">
        <f t="array" ref="H273">_xlfn.LET(
  _xlpm.y,$C273,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3" cm="1">
        <f t="array" ref="I273">_xlfn.LET(
  _xlpm.y,$C273,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0.49541284403669716</v>
      </c>
      <c r="J273" cm="1">
        <f t="array" ref="J273">_xlfn.LET(
  _xlpm.y,$C273,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0.50458715596330284</v>
      </c>
      <c r="K273" cm="1">
        <f t="array" ref="K273">_xlfn.LET(
  _xlpm.y,$C273,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3" cm="1">
        <f t="array" ref="L273">_xlfn.LET(
  _xlpm.y,$C273,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3" cm="1">
        <f t="array" ref="M273">_xlfn.SWITCH(TRUE,
  $C273&lt;$Q$5,  $D$22,
  $C273&lt;$Q$6,  $D$23,
  $C273&lt;$Q$7,  $D$24,
  $C273&lt;$Q$8,  $D$25,
  $C273&lt;$Q$9,  $D$26,
  $C273&lt;$Q$10,  $D$27,
  $C273&lt;$Q$11,  $D$28,
  $C273&lt;$Q$12,  $D$29,
  $C273&lt;$Q$13,  $D$30,
  $C273&lt;100,  $D$31,
)</f>
        <v>6</v>
      </c>
      <c r="N273">
        <v>12.472934694309796</v>
      </c>
      <c r="O273">
        <v>3.1867006477383599</v>
      </c>
      <c r="P273">
        <v>9.864257883492991</v>
      </c>
      <c r="Q273" s="129">
        <v>0.83248334163853877</v>
      </c>
      <c r="R273" s="244" cm="1">
        <f t="array" ref="R273">_xlfn.SWITCH(TRUE,
  $C273&lt;$Q$5,  $S$41*$C273+$T$41,
  $C273&lt;$Q$6,  $S$42*$C273+$T$42,
  $C273&lt;$Q$7,  $S$43*$C273+$T$43,
  $C273&lt;$Q$8, $S$44*$C273+$T$44,
  $C273&lt;$Q$9, $S$45*$C273+$T$45,
  $C273&lt;$Q$10, $S$46*$C273+$T$46,
  $C273&lt;$Q$11,  $S$47*$C273+$T$47,
  $C273&lt;$Q$12, $S$48*$C273+$T$48,
  $S$49*$C273+$T$49
)</f>
        <v>0.5598165137614679</v>
      </c>
      <c r="S273" cm="1">
        <f t="array" ref="S273">_xlfn.SWITCH(TRUE,
  $C273&lt;$Q$5,  $U$41*$C273+$V$41,
  $C273&lt;$Q$6,  $U$42*$C273+$V$42,
  $C273&lt;$Q$7,  $U$43*$C273+$V$43,
  $C273&lt;$Q$8, $U$44*$C273+$V$44,
  $C273&lt;$Q$9, $U$45*$C273+$V$45,
  $C273&lt;$Q$10, $U$46*$C273+$V$46,
  $C273&lt;$Q$11,  $U$47*$C273+$V$47,
  $C273&lt;$Q$12, $U$48*$C273+$V$48,
  $U$49*$C273+$V$49
)</f>
        <v>3.1440366972477065</v>
      </c>
      <c r="T273">
        <f t="shared" ref="T273:T332" si="21">H273</f>
        <v>0</v>
      </c>
      <c r="U273">
        <f t="shared" ref="U273:U332" si="22">I273</f>
        <v>0.49541284403669716</v>
      </c>
      <c r="V273">
        <f t="shared" ref="V273:V332" si="23">J273</f>
        <v>0.50458715596330284</v>
      </c>
      <c r="W273">
        <f t="shared" ref="W273:W332" si="24">K273</f>
        <v>0</v>
      </c>
      <c r="X273">
        <f t="shared" ref="X273:X332" si="25">L273</f>
        <v>0</v>
      </c>
      <c r="Y273">
        <f t="shared" ref="Y273:Y317" si="26">M273</f>
        <v>6</v>
      </c>
      <c r="Z273">
        <v>11.635138145922797</v>
      </c>
      <c r="AA273">
        <v>2.5438636203237079</v>
      </c>
      <c r="AB273">
        <v>9.8721894183564505</v>
      </c>
      <c r="AC273" s="129">
        <v>0.76948723695608867</v>
      </c>
      <c r="AD273" s="244" cm="1">
        <f t="array" ref="AD273">_xlfn.SWITCH(TRUE,
  $C273&lt;$Q$5,  $S$61*$C273+$T$61,
  $C273&lt;$Q$6,  $S$62*$C273+$T$62,
  $C273&lt;$Q$7,  $S$63*$C273+$T$63,
  $C273&lt;$Q$8, $S$64*$C273+$T$64,
  $C273&lt;$Q$9, $S$65*$C273+$T$65,
  $C273&lt;$Q$10, $S$66*$C273+$T$66,
  $C273&lt;$Q$11,  $S$67*$C273+$T$67,
  $C273&lt;$Q$12, $S$68*$C273+$T$68,
  $S$69*$C273+$T$69
)</f>
        <v>0.59458715596330269</v>
      </c>
      <c r="AE273" cm="1">
        <f t="array" ref="AE273">_xlfn.SWITCH(TRUE,
  $C273&lt;$Q$5,  $U$61*$C273+$V$61,
  $C273&lt;$Q$6,  $U$62*$C273+$V$62,
  $C273&lt;$Q$7,  $U$63*$C273+$V$63,
  $C273&lt;$Q$8, $U$64*$C273+$V$64,
  $C273&lt;$Q$9, $U$65*$C273+$V$65,
  $C273&lt;$Q$10, $U$66*$C273+$V$66,
  $C273&lt;$Q$11,  $U$67*$C273+$V$67,
  $C273&lt;$Q$12, $U$68*$C273+$V$68,
  $U$69*$C273+$V$69
)</f>
        <v>3.1440366972477065</v>
      </c>
      <c r="AF273" cm="1">
        <f t="array" ref="AF273">_xlfn.LET(
  _xlpm.y,$C273,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3" cm="1">
        <f t="array" ref="AG273">_xlfn.LET(
  _xlpm.y,$C273,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0.49541284403669716</v>
      </c>
      <c r="AH273" cm="1">
        <f t="array" ref="AH273">_xlfn.LET(
  _xlpm.y,$C273,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0.50458715596330284</v>
      </c>
      <c r="AI273" cm="1">
        <f t="array" ref="AI273">_xlfn.LET(
  _xlpm.y,$C273,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3" cm="1">
        <f t="array" ref="AJ273">_xlfn.LET(
  _xlpm.y,$C273,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3">
        <f t="shared" ref="AK273:AK333" si="27">Y273</f>
        <v>6</v>
      </c>
      <c r="AL273">
        <v>11.410951636257373</v>
      </c>
      <c r="AM273">
        <v>2.3148893579589505</v>
      </c>
      <c r="AN273">
        <v>9.8737620646776492</v>
      </c>
      <c r="AO273">
        <v>0.75802206051398557</v>
      </c>
    </row>
    <row r="274" spans="2:41">
      <c r="B274">
        <f>'主翼(型紙出力)'!B117</f>
        <v>66</v>
      </c>
      <c r="C274">
        <f>INT(('主翼(型紙出力)'!C117)*1000)/1000</f>
        <v>10.074999999999999</v>
      </c>
      <c r="D274">
        <f>'主翼(型紙出力)'!E117</f>
        <v>0.15</v>
      </c>
      <c r="E274">
        <f>'主翼(重量推算)'!CE114</f>
        <v>0.95971251043411043</v>
      </c>
      <c r="F274" s="244" cm="1">
        <f t="array" ref="F274">_xlfn.SWITCH(TRUE,
  $C274&lt;$Q$5,  $S$22*$C274+$T$22,
  $C274&lt;$Q$6,  $S$23*$C274+$T$23,
  $C274&lt;$Q$7,  $S$24*$C274+$T$24,
  $C274&lt;$Q$8, $S$25*$C274+$T$25,
  $C274&lt;$Q$9, $S$26*$C274+$T$26,
  $C274&lt;$Q$10, $S$27*$C274+$T$27,
  $C274&lt;$Q$11,  $S$28*$C274+$T$28,
  $C274&lt;$Q$12, $S$29*$C274+$T$29,
  $S$30*$C274+$T$30
)</f>
        <v>0.66761467889908244</v>
      </c>
      <c r="G274" cm="1">
        <f t="array" ref="G274">_xlfn.SWITCH(TRUE,
  $C274&lt;$Q$5,  $U$22*$C274+$V$22,
  $C274&lt;$Q$6,  $U$23*$C274+$V$23,
  $C274&lt;$Q$7,  $U$24*$C274+$V$24,
  $C274&lt;$Q$8, $U$25*$C274+$V$25,
  $C274&lt;$Q$9, $U$26*$C274+$V$26,
  $C274&lt;$Q$10, $U$27*$C274+$V$27,
  $C274&lt;$Q$11,  $U$28*$C274+$V$28,
  $C274&lt;$Q$12, $U$29*$C274+$V$29,
  $U$30*$C274+$V$30
)</f>
        <v>3.0642201834862393</v>
      </c>
      <c r="H274" cm="1">
        <f t="array" ref="H274">_xlfn.LET(
  _xlpm.y,$C274,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4" cm="1">
        <f t="array" ref="I274">_xlfn.LET(
  _xlpm.y,$C274,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0.44036697247706469</v>
      </c>
      <c r="J274" cm="1">
        <f t="array" ref="J274">_xlfn.LET(
  _xlpm.y,$C274,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0.55963302752293531</v>
      </c>
      <c r="K274" cm="1">
        <f t="array" ref="K274">_xlfn.LET(
  _xlpm.y,$C274,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4" cm="1">
        <f t="array" ref="L274">_xlfn.LET(
  _xlpm.y,$C274,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4" cm="1">
        <f t="array" ref="M274">_xlfn.SWITCH(TRUE,
  $C274&lt;$Q$5,  $D$22,
  $C274&lt;$Q$6,  $D$23,
  $C274&lt;$Q$7,  $D$24,
  $C274&lt;$Q$8,  $D$25,
  $C274&lt;$Q$9,  $D$26,
  $C274&lt;$Q$10,  $D$27,
  $C274&lt;$Q$11,  $D$28,
  $C274&lt;$Q$12,  $D$29,
  $C274&lt;$Q$13,  $D$30,
  $C274&lt;100,  $D$31,
)</f>
        <v>6</v>
      </c>
      <c r="N274">
        <v>12.547794579100387</v>
      </c>
      <c r="O274">
        <v>3.1136748513565515</v>
      </c>
      <c r="P274">
        <v>10.010717604440922</v>
      </c>
      <c r="Q274" s="129">
        <v>0.86488010289416417</v>
      </c>
      <c r="R274" s="244" cm="1">
        <f t="array" ref="R274">_xlfn.SWITCH(TRUE,
  $C274&lt;$Q$5,  $S$41*$C274+$T$41,
  $C274&lt;$Q$6,  $S$42*$C274+$T$42,
  $C274&lt;$Q$7,  $S$43*$C274+$T$43,
  $C274&lt;$Q$8, $S$44*$C274+$T$44,
  $C274&lt;$Q$9, $S$45*$C274+$T$45,
  $C274&lt;$Q$10, $S$46*$C274+$T$46,
  $C274&lt;$Q$11,  $S$47*$C274+$T$47,
  $C274&lt;$Q$12, $S$48*$C274+$T$48,
  $S$49*$C274+$T$49
)</f>
        <v>0.55761467889908256</v>
      </c>
      <c r="S274" cm="1">
        <f t="array" ref="S274">_xlfn.SWITCH(TRUE,
  $C274&lt;$Q$5,  $U$41*$C274+$V$41,
  $C274&lt;$Q$6,  $U$42*$C274+$V$42,
  $C274&lt;$Q$7,  $U$43*$C274+$V$43,
  $C274&lt;$Q$8, $U$44*$C274+$V$44,
  $C274&lt;$Q$9, $U$45*$C274+$V$45,
  $C274&lt;$Q$10, $U$46*$C274+$V$46,
  $C274&lt;$Q$11,  $U$47*$C274+$V$47,
  $C274&lt;$Q$12, $U$48*$C274+$V$48,
  $U$49*$C274+$V$49
)</f>
        <v>3.072477064220184</v>
      </c>
      <c r="T274">
        <f t="shared" si="21"/>
        <v>0</v>
      </c>
      <c r="U274">
        <f t="shared" si="22"/>
        <v>0.44036697247706469</v>
      </c>
      <c r="V274">
        <f t="shared" si="23"/>
        <v>0.55963302752293531</v>
      </c>
      <c r="W274">
        <f t="shared" si="24"/>
        <v>0</v>
      </c>
      <c r="X274">
        <f t="shared" si="25"/>
        <v>0</v>
      </c>
      <c r="Y274">
        <f t="shared" si="26"/>
        <v>6</v>
      </c>
      <c r="Z274">
        <v>11.695912841480384</v>
      </c>
      <c r="AA274">
        <v>2.4659668052236272</v>
      </c>
      <c r="AB274">
        <v>10.019107180715853</v>
      </c>
      <c r="AC274" s="129">
        <v>0.79973903199879681</v>
      </c>
      <c r="AD274" s="244" cm="1">
        <f t="array" ref="AD274">_xlfn.SWITCH(TRUE,
  $C274&lt;$Q$5,  $S$61*$C274+$T$61,
  $C274&lt;$Q$6,  $S$62*$C274+$T$62,
  $C274&lt;$Q$7,  $S$63*$C274+$T$63,
  $C274&lt;$Q$8, $S$64*$C274+$T$64,
  $C274&lt;$Q$9, $S$65*$C274+$T$65,
  $C274&lt;$Q$10, $S$66*$C274+$T$66,
  $C274&lt;$Q$11,  $S$67*$C274+$T$67,
  $C274&lt;$Q$12, $S$68*$C274+$T$68,
  $S$69*$C274+$T$69
)</f>
        <v>0.58963302752293578</v>
      </c>
      <c r="AE274" cm="1">
        <f t="array" ref="AE274">_xlfn.SWITCH(TRUE,
  $C274&lt;$Q$5,  $U$61*$C274+$V$61,
  $C274&lt;$Q$6,  $U$62*$C274+$V$62,
  $C274&lt;$Q$7,  $U$63*$C274+$V$63,
  $C274&lt;$Q$8, $U$64*$C274+$V$64,
  $C274&lt;$Q$9, $U$65*$C274+$V$65,
  $C274&lt;$Q$10, $U$66*$C274+$V$66,
  $C274&lt;$Q$11,  $U$67*$C274+$V$67,
  $C274&lt;$Q$12, $U$68*$C274+$V$68,
  $U$69*$C274+$V$69
)</f>
        <v>3.072477064220184</v>
      </c>
      <c r="AF274" cm="1">
        <f t="array" ref="AF274">_xlfn.LET(
  _xlpm.y,$C274,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4" cm="1">
        <f t="array" ref="AG274">_xlfn.LET(
  _xlpm.y,$C274,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0.44036697247706469</v>
      </c>
      <c r="AH274" cm="1">
        <f t="array" ref="AH274">_xlfn.LET(
  _xlpm.y,$C274,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0.55963302752293531</v>
      </c>
      <c r="AI274" cm="1">
        <f t="array" ref="AI274">_xlfn.LET(
  _xlpm.y,$C274,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4" cm="1">
        <f t="array" ref="AJ274">_xlfn.LET(
  _xlpm.y,$C274,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4">
        <f t="shared" si="27"/>
        <v>6</v>
      </c>
      <c r="AL274">
        <v>11.462777426179368</v>
      </c>
      <c r="AM274">
        <v>2.2328465465774938</v>
      </c>
      <c r="AN274">
        <v>10.020797071088655</v>
      </c>
      <c r="AO274">
        <v>0.78769876669434868</v>
      </c>
    </row>
    <row r="275" spans="2:41">
      <c r="B275">
        <f>'主翼(型紙出力)'!B118</f>
        <v>67</v>
      </c>
      <c r="C275">
        <f>INT(('主翼(型紙出力)'!C118)*1000)/1000</f>
        <v>10.225</v>
      </c>
      <c r="D275">
        <f>'主翼(型紙出力)'!E118</f>
        <v>0.15</v>
      </c>
      <c r="E275">
        <f>'主翼(重量推算)'!CE115</f>
        <v>0.96308620169504711</v>
      </c>
      <c r="F275" s="244" cm="1">
        <f t="array" ref="F275">_xlfn.SWITCH(TRUE,
  $C275&lt;$Q$5,  $S$22*$C275+$T$22,
  $C275&lt;$Q$6,  $S$23*$C275+$T$23,
  $C275&lt;$Q$7,  $S$24*$C275+$T$24,
  $C275&lt;$Q$8, $S$25*$C275+$T$25,
  $C275&lt;$Q$9, $S$26*$C275+$T$26,
  $C275&lt;$Q$10, $S$27*$C275+$T$27,
  $C275&lt;$Q$11,  $S$28*$C275+$T$28,
  $C275&lt;$Q$12, $S$29*$C275+$T$29,
  $S$30*$C275+$T$30
)</f>
        <v>0.6654128440366972</v>
      </c>
      <c r="G275" cm="1">
        <f t="array" ref="G275">_xlfn.SWITCH(TRUE,
  $C275&lt;$Q$5,  $U$22*$C275+$V$22,
  $C275&lt;$Q$6,  $U$23*$C275+$V$23,
  $C275&lt;$Q$7,  $U$24*$C275+$V$24,
  $C275&lt;$Q$8, $U$25*$C275+$V$25,
  $C275&lt;$Q$9, $U$26*$C275+$V$26,
  $C275&lt;$Q$10, $U$27*$C275+$V$27,
  $C275&lt;$Q$11,  $U$28*$C275+$V$28,
  $C275&lt;$Q$12, $U$29*$C275+$V$29,
  $U$30*$C275+$V$30
)</f>
        <v>3.0311926605504591</v>
      </c>
      <c r="H275" cm="1">
        <f t="array" ref="H275">_xlfn.LET(
  _xlpm.y,$C275,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5" cm="1">
        <f t="array" ref="I275">_xlfn.LET(
  _xlpm.y,$C275,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0.38532110091743155</v>
      </c>
      <c r="J275" cm="1">
        <f t="array" ref="J275">_xlfn.LET(
  _xlpm.y,$C275,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0.61467889908256845</v>
      </c>
      <c r="K275" cm="1">
        <f t="array" ref="K275">_xlfn.LET(
  _xlpm.y,$C275,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5" cm="1">
        <f t="array" ref="L275">_xlfn.LET(
  _xlpm.y,$C275,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5" cm="1">
        <f t="array" ref="M275">_xlfn.SWITCH(TRUE,
  $C275&lt;$Q$5,  $D$22,
  $C275&lt;$Q$6,  $D$23,
  $C275&lt;$Q$7,  $D$24,
  $C275&lt;$Q$8,  $D$25,
  $C275&lt;$Q$9,  $D$26,
  $C275&lt;$Q$10,  $D$27,
  $C275&lt;$Q$11,  $D$28,
  $C275&lt;$Q$12,  $D$29,
  $C275&lt;$Q$13,  $D$30,
  $C275&lt;100,  $D$31,
)</f>
        <v>6</v>
      </c>
      <c r="N275">
        <v>12.619127227821888</v>
      </c>
      <c r="O275">
        <v>3.0383489349413595</v>
      </c>
      <c r="P275">
        <v>10.15713487235597</v>
      </c>
      <c r="Q275" s="129">
        <v>0.89746819360677021</v>
      </c>
      <c r="R275" s="244" cm="1">
        <f t="array" ref="R275">_xlfn.SWITCH(TRUE,
  $C275&lt;$Q$5,  $S$41*$C275+$T$41,
  $C275&lt;$Q$6,  $S$42*$C275+$T$42,
  $C275&lt;$Q$7,  $S$43*$C275+$T$43,
  $C275&lt;$Q$8, $S$44*$C275+$T$44,
  $C275&lt;$Q$9, $S$45*$C275+$T$45,
  $C275&lt;$Q$10, $S$46*$C275+$T$46,
  $C275&lt;$Q$11,  $S$47*$C275+$T$47,
  $C275&lt;$Q$12, $S$48*$C275+$T$48,
  $S$49*$C275+$T$49
)</f>
        <v>0.55541284403669733</v>
      </c>
      <c r="S275" cm="1">
        <f t="array" ref="S275">_xlfn.SWITCH(TRUE,
  $C275&lt;$Q$5,  $U$41*$C275+$V$41,
  $C275&lt;$Q$6,  $U$42*$C275+$V$42,
  $C275&lt;$Q$7,  $U$43*$C275+$V$43,
  $C275&lt;$Q$8, $U$44*$C275+$V$44,
  $C275&lt;$Q$9, $U$45*$C275+$V$45,
  $C275&lt;$Q$10, $U$46*$C275+$V$46,
  $C275&lt;$Q$11,  $U$47*$C275+$V$47,
  $C275&lt;$Q$12, $U$48*$C275+$V$48,
  $U$49*$C275+$V$49
)</f>
        <v>3.0009174311926614</v>
      </c>
      <c r="T275">
        <f t="shared" si="21"/>
        <v>0</v>
      </c>
      <c r="U275">
        <f t="shared" si="22"/>
        <v>0.38532110091743155</v>
      </c>
      <c r="V275">
        <f t="shared" si="23"/>
        <v>0.61467889908256845</v>
      </c>
      <c r="W275">
        <f t="shared" si="24"/>
        <v>0</v>
      </c>
      <c r="X275">
        <f t="shared" si="25"/>
        <v>0</v>
      </c>
      <c r="Y275">
        <f t="shared" si="26"/>
        <v>6</v>
      </c>
      <c r="Z275">
        <v>11.753889977852232</v>
      </c>
      <c r="AA275">
        <v>2.3868084885369214</v>
      </c>
      <c r="AB275">
        <v>10.165992771791093</v>
      </c>
      <c r="AC275" s="129">
        <v>0.83014664838807439</v>
      </c>
      <c r="AD275" s="244" cm="1">
        <f t="array" ref="AD275">_xlfn.SWITCH(TRUE,
  $C275&lt;$Q$5,  $S$61*$C275+$T$61,
  $C275&lt;$Q$6,  $S$62*$C275+$T$62,
  $C275&lt;$Q$7,  $S$63*$C275+$T$63,
  $C275&lt;$Q$8, $S$64*$C275+$T$64,
  $C275&lt;$Q$9, $S$65*$C275+$T$65,
  $C275&lt;$Q$10, $S$66*$C275+$T$66,
  $C275&lt;$Q$11,  $S$67*$C275+$T$67,
  $C275&lt;$Q$12, $S$68*$C275+$T$68,
  $S$69*$C275+$T$69
)</f>
        <v>0.58467889908256887</v>
      </c>
      <c r="AE275" cm="1">
        <f t="array" ref="AE275">_xlfn.SWITCH(TRUE,
  $C275&lt;$Q$5,  $U$61*$C275+$V$61,
  $C275&lt;$Q$6,  $U$62*$C275+$V$62,
  $C275&lt;$Q$7,  $U$63*$C275+$V$63,
  $C275&lt;$Q$8, $U$64*$C275+$V$64,
  $C275&lt;$Q$9, $U$65*$C275+$V$65,
  $C275&lt;$Q$10, $U$66*$C275+$V$66,
  $C275&lt;$Q$11,  $U$67*$C275+$V$67,
  $C275&lt;$Q$12, $U$68*$C275+$V$68,
  $U$69*$C275+$V$69
)</f>
        <v>3.0009174311926614</v>
      </c>
      <c r="AF275" cm="1">
        <f t="array" ref="AF275">_xlfn.LET(
  _xlpm.y,$C275,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5" cm="1">
        <f t="array" ref="AG275">_xlfn.LET(
  _xlpm.y,$C275,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0.38532110091743155</v>
      </c>
      <c r="AH275" cm="1">
        <f t="array" ref="AH275">_xlfn.LET(
  _xlpm.y,$C275,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0.61467889908256845</v>
      </c>
      <c r="AI275" cm="1">
        <f t="array" ref="AI275">_xlfn.LET(
  _xlpm.y,$C275,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5" cm="1">
        <f t="array" ref="AJ275">_xlfn.LET(
  _xlpm.y,$C275,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5">
        <f t="shared" si="27"/>
        <v>6</v>
      </c>
      <c r="AL275">
        <v>11.511968004509786</v>
      </c>
      <c r="AM275">
        <v>2.1492826931150542</v>
      </c>
      <c r="AN275">
        <v>10.167805173862115</v>
      </c>
      <c r="AO275">
        <v>0.81750845838929187</v>
      </c>
    </row>
    <row r="276" spans="2:41">
      <c r="B276">
        <f>'主翼(型紙出力)'!B119</f>
        <v>68</v>
      </c>
      <c r="C276">
        <f>INT(('主翼(型紙出力)'!C119)*1000)/1000</f>
        <v>10.375</v>
      </c>
      <c r="D276">
        <f>'主翼(型紙出力)'!E119</f>
        <v>0.15</v>
      </c>
      <c r="E276">
        <f>'主翼(重量推算)'!CE116</f>
        <v>0.92766642978664593</v>
      </c>
      <c r="F276" s="244" cm="1">
        <f t="array" ref="F276">_xlfn.SWITCH(TRUE,
  $C276&lt;$Q$5,  $S$22*$C276+$T$22,
  $C276&lt;$Q$6,  $S$23*$C276+$T$23,
  $C276&lt;$Q$7,  $S$24*$C276+$T$24,
  $C276&lt;$Q$8, $S$25*$C276+$T$25,
  $C276&lt;$Q$9, $S$26*$C276+$T$26,
  $C276&lt;$Q$10, $S$27*$C276+$T$27,
  $C276&lt;$Q$11,  $S$28*$C276+$T$28,
  $C276&lt;$Q$12, $S$29*$C276+$T$29,
  $S$30*$C276+$T$30
)</f>
        <v>0.66321100917431186</v>
      </c>
      <c r="G276" cm="1">
        <f t="array" ref="G276">_xlfn.SWITCH(TRUE,
  $C276&lt;$Q$5,  $U$22*$C276+$V$22,
  $C276&lt;$Q$6,  $U$23*$C276+$V$23,
  $C276&lt;$Q$7,  $U$24*$C276+$V$24,
  $C276&lt;$Q$8, $U$25*$C276+$V$25,
  $C276&lt;$Q$9, $U$26*$C276+$V$26,
  $C276&lt;$Q$10, $U$27*$C276+$V$27,
  $C276&lt;$Q$11,  $U$28*$C276+$V$28,
  $C276&lt;$Q$12, $U$29*$C276+$V$29,
  $U$30*$C276+$V$30
)</f>
        <v>2.9981651376146794</v>
      </c>
      <c r="H276" cm="1">
        <f t="array" ref="H276">_xlfn.LET(
  _xlpm.y,$C276,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6" cm="1">
        <f t="array" ref="I276">_xlfn.LET(
  _xlpm.y,$C276,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0.33027522935779829</v>
      </c>
      <c r="J276" cm="1">
        <f t="array" ref="J276">_xlfn.LET(
  _xlpm.y,$C276,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0.66972477064220171</v>
      </c>
      <c r="K276" cm="1">
        <f t="array" ref="K276">_xlfn.LET(
  _xlpm.y,$C276,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6" cm="1">
        <f t="array" ref="L276">_xlfn.LET(
  _xlpm.y,$C276,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6" cm="1">
        <f t="array" ref="M276">_xlfn.SWITCH(TRUE,
  $C276&lt;$Q$5,  $D$22,
  $C276&lt;$Q$6,  $D$23,
  $C276&lt;$Q$7,  $D$24,
  $C276&lt;$Q$8,  $D$25,
  $C276&lt;$Q$9,  $D$26,
  $C276&lt;$Q$10,  $D$27,
  $C276&lt;$Q$11,  $D$28,
  $C276&lt;$Q$12,  $D$29,
  $C276&lt;$Q$13,  $D$30,
  $C276&lt;100,  $D$31,
)</f>
        <v>6</v>
      </c>
      <c r="N276">
        <v>12.686779442684625</v>
      </c>
      <c r="O276">
        <v>2.9604015048890022</v>
      </c>
      <c r="P276">
        <v>10.303511454974688</v>
      </c>
      <c r="Q276" s="129">
        <v>0.93023854699005781</v>
      </c>
      <c r="R276" s="244" cm="1">
        <f t="array" ref="R276">_xlfn.SWITCH(TRUE,
  $C276&lt;$Q$5,  $S$41*$C276+$T$41,
  $C276&lt;$Q$6,  $S$42*$C276+$T$42,
  $C276&lt;$Q$7,  $S$43*$C276+$T$43,
  $C276&lt;$Q$8, $S$44*$C276+$T$44,
  $C276&lt;$Q$9, $S$45*$C276+$T$45,
  $C276&lt;$Q$10, $S$46*$C276+$T$46,
  $C276&lt;$Q$11,  $S$47*$C276+$T$47,
  $C276&lt;$Q$12, $S$48*$C276+$T$48,
  $S$49*$C276+$T$49
)</f>
        <v>0.55321100917431199</v>
      </c>
      <c r="S276" cm="1">
        <f t="array" ref="S276">_xlfn.SWITCH(TRUE,
  $C276&lt;$Q$5,  $U$41*$C276+$V$41,
  $C276&lt;$Q$6,  $U$42*$C276+$V$42,
  $C276&lt;$Q$7,  $U$43*$C276+$V$43,
  $C276&lt;$Q$8, $U$44*$C276+$V$44,
  $C276&lt;$Q$9, $U$45*$C276+$V$45,
  $C276&lt;$Q$10, $U$46*$C276+$V$46,
  $C276&lt;$Q$11,  $U$47*$C276+$V$47,
  $C276&lt;$Q$12, $U$48*$C276+$V$48,
  $U$49*$C276+$V$49
)</f>
        <v>2.929357798165138</v>
      </c>
      <c r="T276">
        <f t="shared" si="21"/>
        <v>0</v>
      </c>
      <c r="U276">
        <f t="shared" si="22"/>
        <v>0.33027522935779829</v>
      </c>
      <c r="V276">
        <f t="shared" si="23"/>
        <v>0.66972477064220171</v>
      </c>
      <c r="W276">
        <f t="shared" si="24"/>
        <v>0</v>
      </c>
      <c r="X276">
        <f t="shared" si="25"/>
        <v>0</v>
      </c>
      <c r="Y276">
        <f t="shared" si="26"/>
        <v>6</v>
      </c>
      <c r="Z276">
        <v>11.808970688698309</v>
      </c>
      <c r="AA276">
        <v>2.3063322700567856</v>
      </c>
      <c r="AB276">
        <v>10.312847518450308</v>
      </c>
      <c r="AC276" s="129">
        <v>0.86070288152728203</v>
      </c>
      <c r="AD276" s="244" cm="1">
        <f t="array" ref="AD276">_xlfn.SWITCH(TRUE,
  $C276&lt;$Q$5,  $S$61*$C276+$T$61,
  $C276&lt;$Q$6,  $S$62*$C276+$T$62,
  $C276&lt;$Q$7,  $S$63*$C276+$T$63,
  $C276&lt;$Q$8, $S$64*$C276+$T$64,
  $C276&lt;$Q$9, $S$65*$C276+$T$65,
  $C276&lt;$Q$10, $S$66*$C276+$T$66,
  $C276&lt;$Q$11,  $S$67*$C276+$T$67,
  $C276&lt;$Q$12, $S$68*$C276+$T$68,
  $S$69*$C276+$T$69
)</f>
        <v>0.57972477064220185</v>
      </c>
      <c r="AE276" cm="1">
        <f t="array" ref="AE276">_xlfn.SWITCH(TRUE,
  $C276&lt;$Q$5,  $U$61*$C276+$V$61,
  $C276&lt;$Q$6,  $U$62*$C276+$V$62,
  $C276&lt;$Q$7,  $U$63*$C276+$V$63,
  $C276&lt;$Q$8, $U$64*$C276+$V$64,
  $C276&lt;$Q$9, $U$65*$C276+$V$65,
  $C276&lt;$Q$10, $U$66*$C276+$V$66,
  $C276&lt;$Q$11,  $U$67*$C276+$V$67,
  $C276&lt;$Q$12, $U$68*$C276+$V$68,
  $U$69*$C276+$V$69
)</f>
        <v>2.929357798165138</v>
      </c>
      <c r="AF276" cm="1">
        <f t="array" ref="AF276">_xlfn.LET(
  _xlpm.y,$C276,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6" cm="1">
        <f t="array" ref="AG276">_xlfn.LET(
  _xlpm.y,$C276,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0.33027522935779829</v>
      </c>
      <c r="AH276" cm="1">
        <f t="array" ref="AH276">_xlfn.LET(
  _xlpm.y,$C276,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0.66972477064220171</v>
      </c>
      <c r="AI276" cm="1">
        <f t="array" ref="AI276">_xlfn.LET(
  _xlpm.y,$C276,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6" cm="1">
        <f t="array" ref="AJ276">_xlfn.LET(
  _xlpm.y,$C276,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6">
        <f t="shared" si="27"/>
        <v>6</v>
      </c>
      <c r="AL276">
        <v>11.558476954695855</v>
      </c>
      <c r="AM276">
        <v>2.0642474226544123</v>
      </c>
      <c r="AN276">
        <v>10.314787629720104</v>
      </c>
      <c r="AO276">
        <v>0.84744435105936744</v>
      </c>
    </row>
    <row r="277" spans="2:41">
      <c r="B277">
        <f>'主翼(型紙出力)'!B120</f>
        <v>69</v>
      </c>
      <c r="C277">
        <f>INT(('主翼(型紙出力)'!C120)*1000)/1000</f>
        <v>10.525</v>
      </c>
      <c r="D277">
        <f>'主翼(型紙出力)'!E120</f>
        <v>0.15</v>
      </c>
      <c r="E277">
        <f>'主翼(重量推算)'!CE117</f>
        <v>0.93054919465872876</v>
      </c>
      <c r="F277" s="244" cm="1">
        <f t="array" ref="F277">_xlfn.SWITCH(TRUE,
  $C277&lt;$Q$5,  $S$22*$C277+$T$22,
  $C277&lt;$Q$6,  $S$23*$C277+$T$23,
  $C277&lt;$Q$7,  $S$24*$C277+$T$24,
  $C277&lt;$Q$8, $S$25*$C277+$T$25,
  $C277&lt;$Q$9, $S$26*$C277+$T$26,
  $C277&lt;$Q$10, $S$27*$C277+$T$27,
  $C277&lt;$Q$11,  $S$28*$C277+$T$28,
  $C277&lt;$Q$12, $S$29*$C277+$T$29,
  $S$30*$C277+$T$30
)</f>
        <v>0.66100917431192652</v>
      </c>
      <c r="G277" cm="1">
        <f t="array" ref="G277">_xlfn.SWITCH(TRUE,
  $C277&lt;$Q$5,  $U$22*$C277+$V$22,
  $C277&lt;$Q$6,  $U$23*$C277+$V$23,
  $C277&lt;$Q$7,  $U$24*$C277+$V$24,
  $C277&lt;$Q$8, $U$25*$C277+$V$25,
  $C277&lt;$Q$9, $U$26*$C277+$V$26,
  $C277&lt;$Q$10, $U$27*$C277+$V$27,
  $C277&lt;$Q$11,  $U$28*$C277+$V$28,
  $C277&lt;$Q$12, $U$29*$C277+$V$29,
  $U$30*$C277+$V$30
)</f>
        <v>2.9651376146788997</v>
      </c>
      <c r="H277" cm="1">
        <f t="array" ref="H277">_xlfn.LET(
  _xlpm.y,$C277,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7" cm="1">
        <f t="array" ref="I277">_xlfn.LET(
  _xlpm.y,$C277,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0.27522935779816515</v>
      </c>
      <c r="J277" cm="1">
        <f t="array" ref="J277">_xlfn.LET(
  _xlpm.y,$C277,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0.72477064220183485</v>
      </c>
      <c r="K277" cm="1">
        <f t="array" ref="K277">_xlfn.LET(
  _xlpm.y,$C277,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7" cm="1">
        <f t="array" ref="L277">_xlfn.LET(
  _xlpm.y,$C277,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7" cm="1">
        <f t="array" ref="M277">_xlfn.SWITCH(TRUE,
  $C277&lt;$Q$5,  $D$22,
  $C277&lt;$Q$6,  $D$23,
  $C277&lt;$Q$7,  $D$24,
  $C277&lt;$Q$8,  $D$25,
  $C277&lt;$Q$9,  $D$26,
  $C277&lt;$Q$10,  $D$27,
  $C277&lt;$Q$11,  $D$28,
  $C277&lt;$Q$12,  $D$29,
  $C277&lt;$Q$13,  $D$30,
  $C277&lt;100,  $D$31,
)</f>
        <v>6</v>
      </c>
      <c r="N277">
        <v>12.750534261777391</v>
      </c>
      <c r="O277">
        <v>2.8794834244336838</v>
      </c>
      <c r="P277">
        <v>10.449849241842356</v>
      </c>
      <c r="Q277" s="129">
        <v>0.96318171220946069</v>
      </c>
      <c r="R277" s="244" cm="1">
        <f t="array" ref="R277">_xlfn.SWITCH(TRUE,
  $C277&lt;$Q$5,  $S$41*$C277+$T$41,
  $C277&lt;$Q$6,  $S$42*$C277+$T$42,
  $C277&lt;$Q$7,  $S$43*$C277+$T$43,
  $C277&lt;$Q$8, $S$44*$C277+$T$44,
  $C277&lt;$Q$9, $S$45*$C277+$T$45,
  $C277&lt;$Q$10, $S$46*$C277+$T$46,
  $C277&lt;$Q$11,  $S$47*$C277+$T$47,
  $C277&lt;$Q$12, $S$48*$C277+$T$48,
  $S$49*$C277+$T$49
)</f>
        <v>0.55100917431192664</v>
      </c>
      <c r="S277" cm="1">
        <f t="array" ref="S277">_xlfn.SWITCH(TRUE,
  $C277&lt;$Q$5,  $U$41*$C277+$V$41,
  $C277&lt;$Q$6,  $U$42*$C277+$V$42,
  $C277&lt;$Q$7,  $U$43*$C277+$V$43,
  $C277&lt;$Q$8, $U$44*$C277+$V$44,
  $C277&lt;$Q$9, $U$45*$C277+$V$45,
  $C277&lt;$Q$10, $U$46*$C277+$V$46,
  $C277&lt;$Q$11,  $U$47*$C277+$V$47,
  $C277&lt;$Q$12, $U$48*$C277+$V$48,
  $U$49*$C277+$V$49
)</f>
        <v>2.8577981651376145</v>
      </c>
      <c r="T277">
        <f t="shared" si="21"/>
        <v>0</v>
      </c>
      <c r="U277">
        <f t="shared" si="22"/>
        <v>0.27522935779816515</v>
      </c>
      <c r="V277">
        <f t="shared" si="23"/>
        <v>0.72477064220183485</v>
      </c>
      <c r="W277">
        <f t="shared" si="24"/>
        <v>0</v>
      </c>
      <c r="X277">
        <f t="shared" si="25"/>
        <v>0</v>
      </c>
      <c r="Y277">
        <f t="shared" si="26"/>
        <v>6</v>
      </c>
      <c r="Z277">
        <v>11.861002620918461</v>
      </c>
      <c r="AA277">
        <v>2.2244798340652774</v>
      </c>
      <c r="AB277">
        <v>10.459672822332585</v>
      </c>
      <c r="AC277" s="129">
        <v>0.89140027783180831</v>
      </c>
      <c r="AD277" s="244" cm="1">
        <f t="array" ref="AD277">_xlfn.SWITCH(TRUE,
  $C277&lt;$Q$5,  $S$61*$C277+$T$61,
  $C277&lt;$Q$6,  $S$62*$C277+$T$62,
  $C277&lt;$Q$7,  $S$63*$C277+$T$63,
  $C277&lt;$Q$8, $S$64*$C277+$T$64,
  $C277&lt;$Q$9, $S$65*$C277+$T$65,
  $C277&lt;$Q$10, $S$66*$C277+$T$66,
  $C277&lt;$Q$11,  $S$67*$C277+$T$67,
  $C277&lt;$Q$12, $S$68*$C277+$T$68,
  $S$69*$C277+$T$69
)</f>
        <v>0.57477064220183482</v>
      </c>
      <c r="AE277" cm="1">
        <f t="array" ref="AE277">_xlfn.SWITCH(TRUE,
  $C277&lt;$Q$5,  $U$61*$C277+$V$61,
  $C277&lt;$Q$6,  $U$62*$C277+$V$62,
  $C277&lt;$Q$7,  $U$63*$C277+$V$63,
  $C277&lt;$Q$8, $U$64*$C277+$V$64,
  $C277&lt;$Q$9, $U$65*$C277+$V$65,
  $C277&lt;$Q$10, $U$66*$C277+$V$66,
  $C277&lt;$Q$11,  $U$67*$C277+$V$67,
  $C277&lt;$Q$12, $U$68*$C277+$V$68,
  $U$69*$C277+$V$69
)</f>
        <v>2.8577981651376145</v>
      </c>
      <c r="AF277" cm="1">
        <f t="array" ref="AF277">_xlfn.LET(
  _xlpm.y,$C277,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7" cm="1">
        <f t="array" ref="AG277">_xlfn.LET(
  _xlpm.y,$C277,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0.27522935779816515</v>
      </c>
      <c r="AH277" cm="1">
        <f t="array" ref="AH277">_xlfn.LET(
  _xlpm.y,$C277,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0.72477064220183485</v>
      </c>
      <c r="AI277" cm="1">
        <f t="array" ref="AI277">_xlfn.LET(
  _xlpm.y,$C277,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7" cm="1">
        <f t="array" ref="AJ277">_xlfn.LET(
  _xlpm.y,$C277,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7">
        <f t="shared" si="27"/>
        <v>6</v>
      </c>
      <c r="AL277">
        <v>11.602214573242753</v>
      </c>
      <c r="AM277">
        <v>1.9778015973998078</v>
      </c>
      <c r="AN277">
        <v>10.461745737165216</v>
      </c>
      <c r="AO277">
        <v>0.87749954455651236</v>
      </c>
    </row>
    <row r="278" spans="2:41">
      <c r="B278">
        <f>'主翼(型紙出力)'!B121</f>
        <v>70</v>
      </c>
      <c r="C278">
        <f>INT(('主翼(型紙出力)'!C121)*1000)/1000</f>
        <v>10.675000000000001</v>
      </c>
      <c r="D278">
        <f>'主翼(型紙出力)'!E121</f>
        <v>0.15</v>
      </c>
      <c r="E278">
        <f>'主翼(重量推算)'!CE118</f>
        <v>0.89564621784309628</v>
      </c>
      <c r="F278" s="244" cm="1">
        <f t="array" ref="F278">_xlfn.SWITCH(TRUE,
  $C278&lt;$Q$5,  $S$22*$C278+$T$22,
  $C278&lt;$Q$6,  $S$23*$C278+$T$23,
  $C278&lt;$Q$7,  $S$24*$C278+$T$24,
  $C278&lt;$Q$8, $S$25*$C278+$T$25,
  $C278&lt;$Q$9, $S$26*$C278+$T$26,
  $C278&lt;$Q$10, $S$27*$C278+$T$27,
  $C278&lt;$Q$11,  $S$28*$C278+$T$28,
  $C278&lt;$Q$12, $S$29*$C278+$T$29,
  $S$30*$C278+$T$30
)</f>
        <v>0.65880733944954117</v>
      </c>
      <c r="G278" cm="1">
        <f t="array" ref="G278">_xlfn.SWITCH(TRUE,
  $C278&lt;$Q$5,  $U$22*$C278+$V$22,
  $C278&lt;$Q$6,  $U$23*$C278+$V$23,
  $C278&lt;$Q$7,  $U$24*$C278+$V$24,
  $C278&lt;$Q$8, $U$25*$C278+$V$25,
  $C278&lt;$Q$9, $U$26*$C278+$V$26,
  $C278&lt;$Q$10, $U$27*$C278+$V$27,
  $C278&lt;$Q$11,  $U$28*$C278+$V$28,
  $C278&lt;$Q$12, $U$29*$C278+$V$29,
  $U$30*$C278+$V$30
)</f>
        <v>2.9321100917431195</v>
      </c>
      <c r="H278" cm="1">
        <f t="array" ref="H278">_xlfn.LET(
  _xlpm.y,$C278,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8" cm="1">
        <f t="array" ref="I278">_xlfn.LET(
  _xlpm.y,$C278,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0.22018348623853201</v>
      </c>
      <c r="J278" cm="1">
        <f t="array" ref="J278">_xlfn.LET(
  _xlpm.y,$C278,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0.77981651376146799</v>
      </c>
      <c r="K278" cm="1">
        <f t="array" ref="K278">_xlfn.LET(
  _xlpm.y,$C278,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8" cm="1">
        <f t="array" ref="L278">_xlfn.LET(
  _xlpm.y,$C278,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8" cm="1">
        <f t="array" ref="M278">_xlfn.SWITCH(TRUE,
  $C278&lt;$Q$5,  $D$22,
  $C278&lt;$Q$6,  $D$23,
  $C278&lt;$Q$7,  $D$24,
  $C278&lt;$Q$8,  $D$25,
  $C278&lt;$Q$9,  $D$26,
  $C278&lt;$Q$10,  $D$27,
  $C278&lt;$Q$11,  $D$28,
  $C278&lt;$Q$12,  $D$29,
  $C278&lt;$Q$13,  $D$30,
  $C278&lt;100,  $D$31,
)</f>
        <v>6</v>
      </c>
      <c r="N278">
        <v>12.810081322535801</v>
      </c>
      <c r="O278">
        <v>2.7952168914028124</v>
      </c>
      <c r="P278">
        <v>10.59615028122408</v>
      </c>
      <c r="Q278" s="129">
        <v>0.99628769166675923</v>
      </c>
      <c r="R278" s="244" cm="1">
        <f t="array" ref="R278">_xlfn.SWITCH(TRUE,
  $C278&lt;$Q$5,  $S$41*$C278+$T$41,
  $C278&lt;$Q$6,  $S$42*$C278+$T$42,
  $C278&lt;$Q$7,  $S$43*$C278+$T$43,
  $C278&lt;$Q$8, $S$44*$C278+$T$44,
  $C278&lt;$Q$9, $S$45*$C278+$T$45,
  $C278&lt;$Q$10, $S$46*$C278+$T$46,
  $C278&lt;$Q$11,  $S$47*$C278+$T$47,
  $C278&lt;$Q$12, $S$48*$C278+$T$48,
  $S$49*$C278+$T$49
)</f>
        <v>0.5488073394495413</v>
      </c>
      <c r="S278" cm="1">
        <f t="array" ref="S278">_xlfn.SWITCH(TRUE,
  $C278&lt;$Q$5,  $U$41*$C278+$V$41,
  $C278&lt;$Q$6,  $U$42*$C278+$V$42,
  $C278&lt;$Q$7,  $U$43*$C278+$V$43,
  $C278&lt;$Q$8, $U$44*$C278+$V$44,
  $C278&lt;$Q$9, $U$45*$C278+$V$45,
  $C278&lt;$Q$10, $U$46*$C278+$V$46,
  $C278&lt;$Q$11,  $U$47*$C278+$V$47,
  $C278&lt;$Q$12, $U$48*$C278+$V$48,
  $U$49*$C278+$V$49
)</f>
        <v>2.786238532110092</v>
      </c>
      <c r="T278">
        <f t="shared" si="21"/>
        <v>0</v>
      </c>
      <c r="U278">
        <f t="shared" si="22"/>
        <v>0.22018348623853201</v>
      </c>
      <c r="V278">
        <f t="shared" si="23"/>
        <v>0.77981651376146799</v>
      </c>
      <c r="W278">
        <f t="shared" si="24"/>
        <v>0</v>
      </c>
      <c r="X278">
        <f t="shared" si="25"/>
        <v>0</v>
      </c>
      <c r="Y278">
        <f t="shared" si="26"/>
        <v>6</v>
      </c>
      <c r="Z278">
        <v>11.909753969375727</v>
      </c>
      <c r="AA278">
        <v>2.1411909576769346</v>
      </c>
      <c r="AB278">
        <v>10.606470188493986</v>
      </c>
      <c r="AC278" s="129">
        <v>0.92223099770785943</v>
      </c>
      <c r="AD278" s="244" cm="1">
        <f t="array" ref="AD278">_xlfn.SWITCH(TRUE,
  $C278&lt;$Q$5,  $S$61*$C278+$T$61,
  $C278&lt;$Q$6,  $S$62*$C278+$T$62,
  $C278&lt;$Q$7,  $S$63*$C278+$T$63,
  $C278&lt;$Q$8, $S$64*$C278+$T$64,
  $C278&lt;$Q$9, $S$65*$C278+$T$65,
  $C278&lt;$Q$10, $S$66*$C278+$T$66,
  $C278&lt;$Q$11,  $S$67*$C278+$T$67,
  $C278&lt;$Q$12, $S$68*$C278+$T$68,
  $S$69*$C278+$T$69
)</f>
        <v>0.56981651376146791</v>
      </c>
      <c r="AE278" cm="1">
        <f t="array" ref="AE278">_xlfn.SWITCH(TRUE,
  $C278&lt;$Q$5,  $U$61*$C278+$V$61,
  $C278&lt;$Q$6,  $U$62*$C278+$V$62,
  $C278&lt;$Q$7,  $U$63*$C278+$V$63,
  $C278&lt;$Q$8, $U$64*$C278+$V$64,
  $C278&lt;$Q$9, $U$65*$C278+$V$65,
  $C278&lt;$Q$10, $U$66*$C278+$V$66,
  $C278&lt;$Q$11,  $U$67*$C278+$V$67,
  $C278&lt;$Q$12, $U$68*$C278+$V$68,
  $U$69*$C278+$V$69
)</f>
        <v>2.786238532110092</v>
      </c>
      <c r="AF278" cm="1">
        <f t="array" ref="AF278">_xlfn.LET(
  _xlpm.y,$C278,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8" cm="1">
        <f t="array" ref="AG278">_xlfn.LET(
  _xlpm.y,$C278,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0.22018348623853201</v>
      </c>
      <c r="AH278" cm="1">
        <f t="array" ref="AH278">_xlfn.LET(
  _xlpm.y,$C278,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0.77981651376146799</v>
      </c>
      <c r="AI278" cm="1">
        <f t="array" ref="AI278">_xlfn.LET(
  _xlpm.y,$C278,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8" cm="1">
        <f t="array" ref="AJ278">_xlfn.LET(
  _xlpm.y,$C278,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8">
        <f t="shared" si="27"/>
        <v>6</v>
      </c>
      <c r="AL278">
        <v>11.643026328956212</v>
      </c>
      <c r="AM278">
        <v>1.8900178155559622</v>
      </c>
      <c r="AN278">
        <v>10.608680858698017</v>
      </c>
      <c r="AO278">
        <v>0.90766691202769167</v>
      </c>
    </row>
    <row r="279" spans="2:41">
      <c r="B279">
        <f>'主翼(型紙出力)'!B122</f>
        <v>71</v>
      </c>
      <c r="C279">
        <f>INT(('主翼(型紙出力)'!C122)*1000)/1000</f>
        <v>10.824999999999999</v>
      </c>
      <c r="D279">
        <f>'主翼(型紙出力)'!E122</f>
        <v>0.15</v>
      </c>
      <c r="E279">
        <f>'主翼(重量推算)'!CE119</f>
        <v>0.89804679168806456</v>
      </c>
      <c r="F279" s="244" cm="1">
        <f t="array" ref="F279">_xlfn.SWITCH(TRUE,
  $C279&lt;$Q$5,  $S$22*$C279+$T$22,
  $C279&lt;$Q$6,  $S$23*$C279+$T$23,
  $C279&lt;$Q$7,  $S$24*$C279+$T$24,
  $C279&lt;$Q$8, $S$25*$C279+$T$25,
  $C279&lt;$Q$9, $S$26*$C279+$T$26,
  $C279&lt;$Q$10, $S$27*$C279+$T$27,
  $C279&lt;$Q$11,  $S$28*$C279+$T$28,
  $C279&lt;$Q$12, $S$29*$C279+$T$29,
  $S$30*$C279+$T$30
)</f>
        <v>0.65660550458715594</v>
      </c>
      <c r="G279" cm="1">
        <f t="array" ref="G279">_xlfn.SWITCH(TRUE,
  $C279&lt;$Q$5,  $U$22*$C279+$V$22,
  $C279&lt;$Q$6,  $U$23*$C279+$V$23,
  $C279&lt;$Q$7,  $U$24*$C279+$V$24,
  $C279&lt;$Q$8, $U$25*$C279+$V$25,
  $C279&lt;$Q$9, $U$26*$C279+$V$26,
  $C279&lt;$Q$10, $U$27*$C279+$V$27,
  $C279&lt;$Q$11,  $U$28*$C279+$V$28,
  $C279&lt;$Q$12, $U$29*$C279+$V$29,
  $U$30*$C279+$V$30
)</f>
        <v>2.8990825688073403</v>
      </c>
      <c r="H279" cm="1">
        <f t="array" ref="H279">_xlfn.LET(
  _xlpm.y,$C279,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9" cm="1">
        <f t="array" ref="I279">_xlfn.LET(
  _xlpm.y,$C279,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0.16513761467889954</v>
      </c>
      <c r="J279" cm="1">
        <f t="array" ref="J279">_xlfn.LET(
  _xlpm.y,$C279,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0.83486238532110046</v>
      </c>
      <c r="K279" cm="1">
        <f t="array" ref="K279">_xlfn.LET(
  _xlpm.y,$C279,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9" cm="1">
        <f t="array" ref="L279">_xlfn.LET(
  _xlpm.y,$C279,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9" cm="1">
        <f t="array" ref="M279">_xlfn.SWITCH(TRUE,
  $C279&lt;$Q$5,  $D$22,
  $C279&lt;$Q$6,  $D$23,
  $C279&lt;$Q$7,  $D$24,
  $C279&lt;$Q$8,  $D$25,
  $C279&lt;$Q$9,  $D$26,
  $C279&lt;$Q$10,  $D$27,
  $C279&lt;$Q$11,  $D$28,
  $C279&lt;$Q$12,  $D$29,
  $C279&lt;$Q$13,  $D$30,
  $C279&lt;100,  $D$31,
)</f>
        <v>6</v>
      </c>
      <c r="N279">
        <v>12.86518599171726</v>
      </c>
      <c r="O279">
        <v>2.7071945233091554</v>
      </c>
      <c r="P279">
        <v>10.742416834811506</v>
      </c>
      <c r="Q279" s="129">
        <v>1.0295457027566723</v>
      </c>
      <c r="R279" s="244" cm="1">
        <f t="array" ref="R279">_xlfn.SWITCH(TRUE,
  $C279&lt;$Q$5,  $S$41*$C279+$T$41,
  $C279&lt;$Q$6,  $S$42*$C279+$T$42,
  $C279&lt;$Q$7,  $S$43*$C279+$T$43,
  $C279&lt;$Q$8, $S$44*$C279+$T$44,
  $C279&lt;$Q$9, $S$45*$C279+$T$45,
  $C279&lt;$Q$10, $S$46*$C279+$T$46,
  $C279&lt;$Q$11,  $S$47*$C279+$T$47,
  $C279&lt;$Q$12, $S$48*$C279+$T$48,
  $S$49*$C279+$T$49
)</f>
        <v>0.54660550458715607</v>
      </c>
      <c r="S279" cm="1">
        <f t="array" ref="S279">_xlfn.SWITCH(TRUE,
  $C279&lt;$Q$5,  $U$41*$C279+$V$41,
  $C279&lt;$Q$6,  $U$42*$C279+$V$42,
  $C279&lt;$Q$7,  $U$43*$C279+$V$43,
  $C279&lt;$Q$8, $U$44*$C279+$V$44,
  $C279&lt;$Q$9, $U$45*$C279+$V$45,
  $C279&lt;$Q$10, $U$46*$C279+$V$46,
  $C279&lt;$Q$11,  $U$47*$C279+$V$47,
  $C279&lt;$Q$12, $U$48*$C279+$V$48,
  $U$49*$C279+$V$49
)</f>
        <v>2.7146788990825694</v>
      </c>
      <c r="T279">
        <f t="shared" si="21"/>
        <v>0</v>
      </c>
      <c r="U279">
        <f t="shared" si="22"/>
        <v>0.16513761467889954</v>
      </c>
      <c r="V279">
        <f t="shared" si="23"/>
        <v>0.83486238532110046</v>
      </c>
      <c r="W279">
        <f t="shared" si="24"/>
        <v>0</v>
      </c>
      <c r="X279">
        <f t="shared" si="25"/>
        <v>0</v>
      </c>
      <c r="Y279">
        <f t="shared" si="26"/>
        <v>6</v>
      </c>
      <c r="Z279">
        <v>11.955049450057615</v>
      </c>
      <c r="AA279">
        <v>2.0564035330032477</v>
      </c>
      <c r="AB279">
        <v>10.753241268536936</v>
      </c>
      <c r="AC279" s="129">
        <v>0.95318661211019207</v>
      </c>
      <c r="AD279" s="244" cm="1">
        <f t="array" ref="AD279">_xlfn.SWITCH(TRUE,
  $C279&lt;$Q$5,  $S$61*$C279+$T$61,
  $C279&lt;$Q$6,  $S$62*$C279+$T$62,
  $C279&lt;$Q$7,  $S$63*$C279+$T$63,
  $C279&lt;$Q$8, $S$64*$C279+$T$64,
  $C279&lt;$Q$9, $S$65*$C279+$T$65,
  $C279&lt;$Q$10, $S$66*$C279+$T$66,
  $C279&lt;$Q$11,  $S$67*$C279+$T$67,
  $C279&lt;$Q$12, $S$68*$C279+$T$68,
  $S$69*$C279+$T$69
)</f>
        <v>0.564862385321101</v>
      </c>
      <c r="AE279" cm="1">
        <f t="array" ref="AE279">_xlfn.SWITCH(TRUE,
  $C279&lt;$Q$5,  $U$61*$C279+$V$61,
  $C279&lt;$Q$6,  $U$62*$C279+$V$62,
  $C279&lt;$Q$7,  $U$63*$C279+$V$63,
  $C279&lt;$Q$8, $U$64*$C279+$V$64,
  $C279&lt;$Q$9, $U$65*$C279+$V$65,
  $C279&lt;$Q$10, $U$66*$C279+$V$66,
  $C279&lt;$Q$11,  $U$67*$C279+$V$67,
  $C279&lt;$Q$12, $U$68*$C279+$V$68,
  $U$69*$C279+$V$69
)</f>
        <v>2.7146788990825694</v>
      </c>
      <c r="AF279" cm="1">
        <f t="array" ref="AF279">_xlfn.LET(
  _xlpm.y,$C279,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9" cm="1">
        <f t="array" ref="AG279">_xlfn.LET(
  _xlpm.y,$C279,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0.16513761467889954</v>
      </c>
      <c r="AH279" cm="1">
        <f t="array" ref="AH279">_xlfn.LET(
  _xlpm.y,$C279,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0.83486238532110046</v>
      </c>
      <c r="AI279" cm="1">
        <f t="array" ref="AI279">_xlfn.LET(
  _xlpm.y,$C279,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9" cm="1">
        <f t="array" ref="AJ279">_xlfn.LET(
  _xlpm.y,$C279,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9">
        <f t="shared" si="27"/>
        <v>6</v>
      </c>
      <c r="AL279">
        <v>11.680806733089021</v>
      </c>
      <c r="AM279">
        <v>1.8009809247984119</v>
      </c>
      <c r="AN279">
        <v>10.755594454756267</v>
      </c>
      <c r="AO279">
        <v>0.93793893365217873</v>
      </c>
    </row>
    <row r="280" spans="2:41">
      <c r="B280">
        <f>'主翼(型紙出力)'!B123</f>
        <v>72</v>
      </c>
      <c r="C280">
        <f>INT(('主翼(型紙出力)'!C123)*1000)/1000</f>
        <v>10.975</v>
      </c>
      <c r="D280">
        <f>'主翼(型紙出力)'!E123</f>
        <v>0.15</v>
      </c>
      <c r="E280">
        <f>'主翼(重量推算)'!CE120</f>
        <v>0.86365168533265346</v>
      </c>
      <c r="F280" s="244" cm="1">
        <f t="array" ref="F280">_xlfn.SWITCH(TRUE,
  $C280&lt;$Q$5,  $S$22*$C280+$T$22,
  $C280&lt;$Q$6,  $S$23*$C280+$T$23,
  $C280&lt;$Q$7,  $S$24*$C280+$T$24,
  $C280&lt;$Q$8, $S$25*$C280+$T$25,
  $C280&lt;$Q$9, $S$26*$C280+$T$26,
  $C280&lt;$Q$10, $S$27*$C280+$T$27,
  $C280&lt;$Q$11,  $S$28*$C280+$T$28,
  $C280&lt;$Q$12, $S$29*$C280+$T$29,
  $S$30*$C280+$T$30
)</f>
        <v>0.6544036697247706</v>
      </c>
      <c r="G280" cm="1">
        <f t="array" ref="G280">_xlfn.SWITCH(TRUE,
  $C280&lt;$Q$5,  $U$22*$C280+$V$22,
  $C280&lt;$Q$6,  $U$23*$C280+$V$23,
  $C280&lt;$Q$7,  $U$24*$C280+$V$24,
  $C280&lt;$Q$8, $U$25*$C280+$V$25,
  $C280&lt;$Q$9, $U$26*$C280+$V$26,
  $C280&lt;$Q$10, $U$27*$C280+$V$27,
  $C280&lt;$Q$11,  $U$28*$C280+$V$28,
  $C280&lt;$Q$12, $U$29*$C280+$V$29,
  $U$30*$C280+$V$30
)</f>
        <v>2.8660550458715601</v>
      </c>
      <c r="H280" cm="1">
        <f t="array" ref="H280">_xlfn.LET(
  _xlpm.y,$C280,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0" cm="1">
        <f t="array" ref="I280">_xlfn.LET(
  _xlpm.y,$C280,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0.11009174311926628</v>
      </c>
      <c r="J280" cm="1">
        <f t="array" ref="J280">_xlfn.LET(
  _xlpm.y,$C280,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0.88990825688073372</v>
      </c>
      <c r="K280" cm="1">
        <f t="array" ref="K280">_xlfn.LET(
  _xlpm.y,$C280,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0" cm="1">
        <f t="array" ref="L280">_xlfn.LET(
  _xlpm.y,$C280,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0" cm="1">
        <f t="array" ref="M280">_xlfn.SWITCH(TRUE,
  $C280&lt;$Q$5,  $D$22,
  $C280&lt;$Q$6,  $D$23,
  $C280&lt;$Q$7,  $D$24,
  $C280&lt;$Q$8,  $D$25,
  $C280&lt;$Q$9,  $D$26,
  $C280&lt;$Q$10,  $D$27,
  $C280&lt;$Q$11,  $D$28,
  $C280&lt;$Q$12,  $D$29,
  $C280&lt;$Q$13,  $D$30,
  $C280&lt;100,  $D$31,
)</f>
        <v>6</v>
      </c>
      <c r="N280">
        <v>12.915713875171283</v>
      </c>
      <c r="O280">
        <v>2.6149784647304481</v>
      </c>
      <c r="P280">
        <v>10.888651334601924</v>
      </c>
      <c r="Q280" s="129">
        <v>1.0629443714583764</v>
      </c>
      <c r="R280" s="244" cm="1">
        <f t="array" ref="R280">_xlfn.SWITCH(TRUE,
  $C280&lt;$Q$5,  $S$41*$C280+$T$41,
  $C280&lt;$Q$6,  $S$42*$C280+$T$42,
  $C280&lt;$Q$7,  $S$43*$C280+$T$43,
  $C280&lt;$Q$8, $S$44*$C280+$T$44,
  $C280&lt;$Q$9, $S$45*$C280+$T$45,
  $C280&lt;$Q$10, $S$46*$C280+$T$46,
  $C280&lt;$Q$11,  $S$47*$C280+$T$47,
  $C280&lt;$Q$12, $S$48*$C280+$T$48,
  $S$49*$C280+$T$49
)</f>
        <v>0.54440366972477072</v>
      </c>
      <c r="S280" cm="1">
        <f t="array" ref="S280">_xlfn.SWITCH(TRUE,
  $C280&lt;$Q$5,  $U$41*$C280+$V$41,
  $C280&lt;$Q$6,  $U$42*$C280+$V$42,
  $C280&lt;$Q$7,  $U$43*$C280+$V$43,
  $C280&lt;$Q$8, $U$44*$C280+$V$44,
  $C280&lt;$Q$9, $U$45*$C280+$V$45,
  $C280&lt;$Q$10, $U$46*$C280+$V$46,
  $C280&lt;$Q$11,  $U$47*$C280+$V$47,
  $C280&lt;$Q$12, $U$48*$C280+$V$48,
  $U$49*$C280+$V$49
)</f>
        <v>2.6431192660550469</v>
      </c>
      <c r="T280">
        <f t="shared" si="21"/>
        <v>0</v>
      </c>
      <c r="U280">
        <f t="shared" si="22"/>
        <v>0.11009174311926628</v>
      </c>
      <c r="V280">
        <f t="shared" si="23"/>
        <v>0.88990825688073372</v>
      </c>
      <c r="W280">
        <f t="shared" si="24"/>
        <v>0</v>
      </c>
      <c r="X280">
        <f t="shared" si="25"/>
        <v>0</v>
      </c>
      <c r="Y280">
        <f t="shared" si="26"/>
        <v>6</v>
      </c>
      <c r="Z280">
        <v>11.996788339028319</v>
      </c>
      <c r="AA280">
        <v>1.9700536125105848</v>
      </c>
      <c r="AB280">
        <v>10.899987830593885</v>
      </c>
      <c r="AC280" s="129">
        <v>0.9842582474785796</v>
      </c>
      <c r="AD280" s="244" cm="1">
        <f t="array" ref="AD280">_xlfn.SWITCH(TRUE,
  $C280&lt;$Q$5,  $S$61*$C280+$T$61,
  $C280&lt;$Q$6,  $S$62*$C280+$T$62,
  $C280&lt;$Q$7,  $S$63*$C280+$T$63,
  $C280&lt;$Q$8, $S$64*$C280+$T$64,
  $C280&lt;$Q$9, $S$65*$C280+$T$65,
  $C280&lt;$Q$10, $S$66*$C280+$T$66,
  $C280&lt;$Q$11,  $S$67*$C280+$T$67,
  $C280&lt;$Q$12, $S$68*$C280+$T$68,
  $S$69*$C280+$T$69
)</f>
        <v>0.55990825688073398</v>
      </c>
      <c r="AE280" cm="1">
        <f t="array" ref="AE280">_xlfn.SWITCH(TRUE,
  $C280&lt;$Q$5,  $U$61*$C280+$V$61,
  $C280&lt;$Q$6,  $U$62*$C280+$V$62,
  $C280&lt;$Q$7,  $U$63*$C280+$V$63,
  $C280&lt;$Q$8, $U$64*$C280+$V$64,
  $C280&lt;$Q$9, $U$65*$C280+$V$65,
  $C280&lt;$Q$10, $U$66*$C280+$V$66,
  $C280&lt;$Q$11,  $U$67*$C280+$V$67,
  $C280&lt;$Q$12, $U$68*$C280+$V$68,
  $U$69*$C280+$V$69
)</f>
        <v>2.6431192660550469</v>
      </c>
      <c r="AF280" cm="1">
        <f t="array" ref="AF280">_xlfn.LET(
  _xlpm.y,$C280,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0" cm="1">
        <f t="array" ref="AG280">_xlfn.LET(
  _xlpm.y,$C280,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0.11009174311926628</v>
      </c>
      <c r="AH280" cm="1">
        <f t="array" ref="AH280">_xlfn.LET(
  _xlpm.y,$C280,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0.88990825688073372</v>
      </c>
      <c r="AI280" cm="1">
        <f t="array" ref="AI280">_xlfn.LET(
  _xlpm.y,$C280,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0" cm="1">
        <f t="array" ref="AJ280">_xlfn.LET(
  _xlpm.y,$C280,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0">
        <f t="shared" si="27"/>
        <v>6</v>
      </c>
      <c r="AL280">
        <v>11.715513015851203</v>
      </c>
      <c r="AM280">
        <v>1.7107885584082971</v>
      </c>
      <c r="AN280">
        <v>10.902488057734717</v>
      </c>
      <c r="AO280">
        <v>0.96830782240381952</v>
      </c>
    </row>
    <row r="281" spans="2:41">
      <c r="B281">
        <f>'主翼(型紙出力)'!B124</f>
        <v>73</v>
      </c>
      <c r="C281">
        <f>INT(('主翼(型紙出力)'!C124)*1000)/1000</f>
        <v>11.125</v>
      </c>
      <c r="D281">
        <f>'主翼(型紙出力)'!E124</f>
        <v>0.15</v>
      </c>
      <c r="E281">
        <f>'主翼(重量推算)'!CE121</f>
        <v>0.86557871542546894</v>
      </c>
      <c r="F281" s="244" cm="1">
        <f t="array" ref="F281">_xlfn.SWITCH(TRUE,
  $C281&lt;$Q$5,  $S$22*$C281+$T$22,
  $C281&lt;$Q$6,  $S$23*$C281+$T$23,
  $C281&lt;$Q$7,  $S$24*$C281+$T$24,
  $C281&lt;$Q$8, $S$25*$C281+$T$25,
  $C281&lt;$Q$9, $S$26*$C281+$T$26,
  $C281&lt;$Q$10, $S$27*$C281+$T$27,
  $C281&lt;$Q$11,  $S$28*$C281+$T$28,
  $C281&lt;$Q$12, $S$29*$C281+$T$29,
  $S$30*$C281+$T$30
)</f>
        <v>0.65220183486238525</v>
      </c>
      <c r="G281" cm="1">
        <f t="array" ref="G281">_xlfn.SWITCH(TRUE,
  $C281&lt;$Q$5,  $U$22*$C281+$V$22,
  $C281&lt;$Q$6,  $U$23*$C281+$V$23,
  $C281&lt;$Q$7,  $U$24*$C281+$V$24,
  $C281&lt;$Q$8, $U$25*$C281+$V$25,
  $C281&lt;$Q$9, $U$26*$C281+$V$26,
  $C281&lt;$Q$10, $U$27*$C281+$V$27,
  $C281&lt;$Q$11,  $U$28*$C281+$V$28,
  $C281&lt;$Q$12, $U$29*$C281+$V$29,
  $U$30*$C281+$V$30
)</f>
        <v>2.8330275229357804</v>
      </c>
      <c r="H281" cm="1">
        <f t="array" ref="H281">_xlfn.LET(
  _xlpm.y,$C281,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1" cm="1">
        <f t="array" ref="I281">_xlfn.LET(
  _xlpm.y,$C281,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5.5045871559633142E-2</v>
      </c>
      <c r="J281" cm="1">
        <f t="array" ref="J281">_xlfn.LET(
  _xlpm.y,$C281,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0.94495412844036686</v>
      </c>
      <c r="K281" cm="1">
        <f t="array" ref="K281">_xlfn.LET(
  _xlpm.y,$C281,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1" cm="1">
        <f t="array" ref="L281">_xlfn.LET(
  _xlpm.y,$C281,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1" cm="1">
        <f t="array" ref="M281">_xlfn.SWITCH(TRUE,
  $C281&lt;$Q$5,  $D$22,
  $C281&lt;$Q$6,  $D$23,
  $C281&lt;$Q$7,  $D$24,
  $C281&lt;$Q$8,  $D$25,
  $C281&lt;$Q$9,  $D$26,
  $C281&lt;$Q$10,  $D$27,
  $C281&lt;$Q$11,  $D$28,
  $C281&lt;$Q$12,  $D$29,
  $C281&lt;$Q$13,  $D$30,
  $C281&lt;100,  $D$31,
)</f>
        <v>6</v>
      </c>
      <c r="N281">
        <v>12.961564239045014</v>
      </c>
      <c r="O281">
        <v>2.5180994821043536</v>
      </c>
      <c r="P281">
        <v>11.034856323983412</v>
      </c>
      <c r="Q281" s="129">
        <v>1.0964719881341674</v>
      </c>
      <c r="R281" s="244" cm="1">
        <f t="array" ref="R281">_xlfn.SWITCH(TRUE,
  $C281&lt;$Q$5,  $S$41*$C281+$T$41,
  $C281&lt;$Q$6,  $S$42*$C281+$T$42,
  $C281&lt;$Q$7,  $S$43*$C281+$T$43,
  $C281&lt;$Q$8, $S$44*$C281+$T$44,
  $C281&lt;$Q$9, $S$45*$C281+$T$45,
  $C281&lt;$Q$10, $S$46*$C281+$T$46,
  $C281&lt;$Q$11,  $S$47*$C281+$T$47,
  $C281&lt;$Q$12, $S$48*$C281+$T$48,
  $S$49*$C281+$T$49
)</f>
        <v>0.54220183486238538</v>
      </c>
      <c r="S281" cm="1">
        <f t="array" ref="S281">_xlfn.SWITCH(TRUE,
  $C281&lt;$Q$5,  $U$41*$C281+$V$41,
  $C281&lt;$Q$6,  $U$42*$C281+$V$42,
  $C281&lt;$Q$7,  $U$43*$C281+$V$43,
  $C281&lt;$Q$8, $U$44*$C281+$V$44,
  $C281&lt;$Q$9, $U$45*$C281+$V$45,
  $C281&lt;$Q$10, $U$46*$C281+$V$46,
  $C281&lt;$Q$11,  $U$47*$C281+$V$47,
  $C281&lt;$Q$12, $U$48*$C281+$V$48,
  $U$49*$C281+$V$49
)</f>
        <v>2.5715596330275234</v>
      </c>
      <c r="T281">
        <f t="shared" si="21"/>
        <v>0</v>
      </c>
      <c r="U281">
        <f t="shared" si="22"/>
        <v>5.5045871559633142E-2</v>
      </c>
      <c r="V281">
        <f t="shared" si="23"/>
        <v>0.94495412844036686</v>
      </c>
      <c r="W281">
        <f t="shared" si="24"/>
        <v>0</v>
      </c>
      <c r="X281">
        <f t="shared" si="25"/>
        <v>0</v>
      </c>
      <c r="Y281">
        <f t="shared" si="26"/>
        <v>6</v>
      </c>
      <c r="Z281">
        <v>12.034887155901192</v>
      </c>
      <c r="AA281">
        <v>1.8820754494830092</v>
      </c>
      <c r="AB281">
        <v>11.046711718617559</v>
      </c>
      <c r="AC281" s="129">
        <v>1.0154367766808403</v>
      </c>
      <c r="AD281" s="244" cm="1">
        <f t="array" ref="AD281">_xlfn.SWITCH(TRUE,
  $C281&lt;$Q$5,  $S$61*$C281+$T$61,
  $C281&lt;$Q$6,  $S$62*$C281+$T$62,
  $C281&lt;$Q$7,  $S$63*$C281+$T$63,
  $C281&lt;$Q$8, $S$64*$C281+$T$64,
  $C281&lt;$Q$9, $S$65*$C281+$T$65,
  $C281&lt;$Q$10, $S$66*$C281+$T$66,
  $C281&lt;$Q$11,  $S$67*$C281+$T$67,
  $C281&lt;$Q$12, $S$68*$C281+$T$68,
  $S$69*$C281+$T$69
)</f>
        <v>0.55495412844036696</v>
      </c>
      <c r="AE281" cm="1">
        <f t="array" ref="AE281">_xlfn.SWITCH(TRUE,
  $C281&lt;$Q$5,  $U$61*$C281+$V$61,
  $C281&lt;$Q$6,  $U$62*$C281+$V$62,
  $C281&lt;$Q$7,  $U$63*$C281+$V$63,
  $C281&lt;$Q$8, $U$64*$C281+$V$64,
  $C281&lt;$Q$9, $U$65*$C281+$V$65,
  $C281&lt;$Q$10, $U$66*$C281+$V$66,
  $C281&lt;$Q$11,  $U$67*$C281+$V$67,
  $C281&lt;$Q$12, $U$68*$C281+$V$68,
  $U$69*$C281+$V$69
)</f>
        <v>2.5715596330275234</v>
      </c>
      <c r="AF281" cm="1">
        <f t="array" ref="AF281">_xlfn.LET(
  _xlpm.y,$C281,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1" cm="1">
        <f t="array" ref="AG281">_xlfn.LET(
  _xlpm.y,$C281,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5.5045871559633142E-2</v>
      </c>
      <c r="AH281" cm="1">
        <f t="array" ref="AH281">_xlfn.LET(
  _xlpm.y,$C281,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0.94495412844036686</v>
      </c>
      <c r="AI281" cm="1">
        <f t="array" ref="AI281">_xlfn.LET(
  _xlpm.y,$C281,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1" cm="1">
        <f t="array" ref="AJ281">_xlfn.LET(
  _xlpm.y,$C281,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1">
        <f t="shared" si="27"/>
        <v>6</v>
      </c>
      <c r="AL281">
        <v>11.747115671243373</v>
      </c>
      <c r="AM281">
        <v>1.6195516694176562</v>
      </c>
      <c r="AN281">
        <v>11.049363238147791</v>
      </c>
      <c r="AO281">
        <v>0.99876568474881633</v>
      </c>
    </row>
    <row r="282" spans="2:41">
      <c r="B282">
        <f>'主翼(型紙出力)'!B125</f>
        <v>74</v>
      </c>
      <c r="C282">
        <f>INT(('主翼(型紙出力)'!C125)*1000)/1000</f>
        <v>11.275</v>
      </c>
      <c r="D282">
        <f>'主翼(型紙出力)'!E125</f>
        <v>0.15</v>
      </c>
      <c r="E282">
        <f>'主翼(重量推算)'!CE122</f>
        <v>0.83168264128313785</v>
      </c>
      <c r="F282" s="244" cm="1">
        <f t="array" ref="F282">_xlfn.SWITCH(TRUE,
  $C282&lt;$Q$5,  $S$22*$C282+$T$22,
  $C282&lt;$Q$6,  $S$23*$C282+$T$23,
  $C282&lt;$Q$7,  $S$24*$C282+$T$24,
  $C282&lt;$Q$8, $S$25*$C282+$T$25,
  $C282&lt;$Q$9, $S$26*$C282+$T$26,
  $C282&lt;$Q$10, $S$27*$C282+$T$27,
  $C282&lt;$Q$11,  $S$28*$C282+$T$28,
  $C282&lt;$Q$12, $S$29*$C282+$T$29,
  $S$30*$C282+$T$30
)</f>
        <v>0.65000000000000013</v>
      </c>
      <c r="G282" cm="1">
        <f t="array" ref="G282">_xlfn.SWITCH(TRUE,
  $C282&lt;$Q$5,  $U$22*$C282+$V$22,
  $C282&lt;$Q$6,  $U$23*$C282+$V$23,
  $C282&lt;$Q$7,  $U$24*$C282+$V$24,
  $C282&lt;$Q$8, $U$25*$C282+$V$25,
  $C282&lt;$Q$9, $U$26*$C282+$V$26,
  $C282&lt;$Q$10, $U$27*$C282+$V$27,
  $C282&lt;$Q$11,  $U$28*$C282+$V$28,
  $C282&lt;$Q$12, $U$29*$C282+$V$29,
  $U$30*$C282+$V$30
)</f>
        <v>2.8000000000000025</v>
      </c>
      <c r="H282" cm="1">
        <f t="array" ref="H282">_xlfn.LET(
  _xlpm.y,$C282,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2" cm="1">
        <f t="array" ref="I282">_xlfn.LET(
  _xlpm.y,$C282,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2" cm="1">
        <f t="array" ref="J282">_xlfn.LET(
  _xlpm.y,$C282,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2" cm="1">
        <f t="array" ref="K282">_xlfn.LET(
  _xlpm.y,$C282,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2" cm="1">
        <f t="array" ref="L282">_xlfn.LET(
  _xlpm.y,$C282,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2" cm="1">
        <f t="array" ref="M282">_xlfn.SWITCH(TRUE,
  $C282&lt;$Q$5,  $D$22,
  $C282&lt;$Q$6,  $D$23,
  $C282&lt;$Q$7,  $D$24,
  $C282&lt;$Q$8,  $D$25,
  $C282&lt;$Q$9,  $D$26,
  $C282&lt;$Q$10,  $D$27,
  $C282&lt;$Q$11,  $D$28,
  $C282&lt;$Q$12,  $D$29,
  $C282&lt;$Q$13,  $D$30,
  $C282&lt;100,  $D$31,
)</f>
        <v>6</v>
      </c>
      <c r="N282">
        <v>13.002677929807502</v>
      </c>
      <c r="O282">
        <v>2.4160560411518475</v>
      </c>
      <c r="P282">
        <v>11.181034436420424</v>
      </c>
      <c r="Q282" s="129">
        <v>1.130116593115539</v>
      </c>
      <c r="R282" s="244" cm="1">
        <f t="array" ref="R282">_xlfn.SWITCH(TRUE,
  $C282&lt;$Q$5,  $S$41*$C282+$T$41,
  $C282&lt;$Q$6,  $S$42*$C282+$T$42,
  $C282&lt;$Q$7,  $S$43*$C282+$T$43,
  $C282&lt;$Q$8, $S$44*$C282+$T$44,
  $C282&lt;$Q$9, $S$45*$C282+$T$45,
  $C282&lt;$Q$10, $S$46*$C282+$T$46,
  $C282&lt;$Q$11,  $S$47*$C282+$T$47,
  $C282&lt;$Q$12, $S$48*$C282+$T$48,
  $S$49*$C282+$T$49
)</f>
        <v>0.54000000000000026</v>
      </c>
      <c r="S282" cm="1">
        <f t="array" ref="S282">_xlfn.SWITCH(TRUE,
  $C282&lt;$Q$5,  $U$41*$C282+$V$41,
  $C282&lt;$Q$6,  $U$42*$C282+$V$42,
  $C282&lt;$Q$7,  $U$43*$C282+$V$43,
  $C282&lt;$Q$8, $U$44*$C282+$V$44,
  $C282&lt;$Q$9, $U$45*$C282+$V$45,
  $C282&lt;$Q$10, $U$46*$C282+$V$46,
  $C282&lt;$Q$11,  $U$47*$C282+$V$47,
  $C282&lt;$Q$12, $U$48*$C282+$V$48,
  $U$49*$C282+$V$49
)</f>
        <v>2.5000000000000009</v>
      </c>
      <c r="T282">
        <f t="shared" si="21"/>
        <v>0</v>
      </c>
      <c r="U282">
        <f t="shared" si="22"/>
        <v>0</v>
      </c>
      <c r="V282">
        <f t="shared" si="23"/>
        <v>1</v>
      </c>
      <c r="W282">
        <f t="shared" si="24"/>
        <v>0</v>
      </c>
      <c r="X282">
        <f t="shared" si="25"/>
        <v>0</v>
      </c>
      <c r="Y282">
        <f t="shared" si="26"/>
        <v>6</v>
      </c>
      <c r="Z282">
        <v>12.069283723105601</v>
      </c>
      <c r="AA282">
        <v>1.7924015305513492</v>
      </c>
      <c r="AB282">
        <v>11.193414842048556</v>
      </c>
      <c r="AC282" s="129">
        <v>1.0467128630023328</v>
      </c>
      <c r="AD282" s="244" cm="1">
        <f t="array" ref="AD282">_xlfn.SWITCH(TRUE,
  $C282&lt;$Q$5,  $S$61*$C282+$T$61,
  $C282&lt;$Q$6,  $S$62*$C282+$T$62,
  $C282&lt;$Q$7,  $S$63*$C282+$T$63,
  $C282&lt;$Q$8, $S$64*$C282+$T$64,
  $C282&lt;$Q$9, $S$65*$C282+$T$65,
  $C282&lt;$Q$10, $S$66*$C282+$T$66,
  $C282&lt;$Q$11,  $S$67*$C282+$T$67,
  $C282&lt;$Q$12, $S$68*$C282+$T$68,
  $S$69*$C282+$T$69
)</f>
        <v>0.55000000000000027</v>
      </c>
      <c r="AE282" cm="1">
        <f t="array" ref="AE282">_xlfn.SWITCH(TRUE,
  $C282&lt;$Q$5,  $U$61*$C282+$V$61,
  $C282&lt;$Q$6,  $U$62*$C282+$V$62,
  $C282&lt;$Q$7,  $U$63*$C282+$V$63,
  $C282&lt;$Q$8, $U$64*$C282+$V$64,
  $C282&lt;$Q$9, $U$65*$C282+$V$65,
  $C282&lt;$Q$10, $U$66*$C282+$V$66,
  $C282&lt;$Q$11,  $U$67*$C282+$V$67,
  $C282&lt;$Q$12, $U$68*$C282+$V$68,
  $U$69*$C282+$V$69
)</f>
        <v>2.5000000000000009</v>
      </c>
      <c r="AF282" cm="1">
        <f t="array" ref="AF282">_xlfn.LET(
  _xlpm.y,$C282,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2" cm="1">
        <f t="array" ref="AG282">_xlfn.LET(
  _xlpm.y,$C282,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2" cm="1">
        <f t="array" ref="AH282">_xlfn.LET(
  _xlpm.y,$C282,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2" cm="1">
        <f t="array" ref="AI282">_xlfn.LET(
  _xlpm.y,$C282,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2" cm="1">
        <f t="array" ref="AJ282">_xlfn.LET(
  _xlpm.y,$C282,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2">
        <f t="shared" si="27"/>
        <v>6</v>
      </c>
      <c r="AL282">
        <v>11.775600489400926</v>
      </c>
      <c r="AM282">
        <v>1.5273950602042372</v>
      </c>
      <c r="AN282">
        <v>11.196221596564827</v>
      </c>
      <c r="AO282">
        <v>1.0293045544569994</v>
      </c>
    </row>
    <row r="283" spans="2:41">
      <c r="B283">
        <f>'主翼(型紙出力)'!B126</f>
        <v>75</v>
      </c>
      <c r="C283">
        <f>INT(('主翼(型紙出力)'!C126)*1000)/1000</f>
        <v>11.425000000000001</v>
      </c>
      <c r="D283">
        <f>'主翼(型紙出力)'!E126</f>
        <v>0.15</v>
      </c>
      <c r="E283">
        <f>'主翼(重量推算)'!CE123</f>
        <v>0.82058602472326669</v>
      </c>
      <c r="F283" s="244" cm="1">
        <f t="array" ref="F283">_xlfn.SWITCH(TRUE,
  $C283&lt;$Q$5,  $S$22*$C283+$T$22,
  $C283&lt;$Q$6,  $S$23*$C283+$T$23,
  $C283&lt;$Q$7,  $S$24*$C283+$T$24,
  $C283&lt;$Q$8, $S$25*$C283+$T$25,
  $C283&lt;$Q$9, $S$26*$C283+$T$26,
  $C283&lt;$Q$10, $S$27*$C283+$T$27,
  $C283&lt;$Q$11,  $S$28*$C283+$T$28,
  $C283&lt;$Q$12, $S$29*$C283+$T$29,
  $S$30*$C283+$T$30
)</f>
        <v>0.62567567567567561</v>
      </c>
      <c r="G283" cm="1">
        <f t="array" ref="G283">_xlfn.SWITCH(TRUE,
  $C283&lt;$Q$5,  $U$22*$C283+$V$22,
  $C283&lt;$Q$6,  $U$23*$C283+$V$23,
  $C283&lt;$Q$7,  $U$24*$C283+$V$24,
  $C283&lt;$Q$8, $U$25*$C283+$V$25,
  $C283&lt;$Q$9, $U$26*$C283+$V$26,
  $C283&lt;$Q$10, $U$27*$C283+$V$27,
  $C283&lt;$Q$11,  $U$28*$C283+$V$28,
  $C283&lt;$Q$12, $U$29*$C283+$V$29,
  $U$30*$C283+$V$30
)</f>
        <v>2.6702702702702723</v>
      </c>
      <c r="H283" cm="1">
        <f t="array" ref="H283">_xlfn.LET(
  _xlpm.y,$C283,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3" cm="1">
        <f t="array" ref="I283">_xlfn.LET(
  _xlpm.y,$C283,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3" cm="1">
        <f t="array" ref="J283">_xlfn.LET(
  _xlpm.y,$C283,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3" cm="1">
        <f t="array" ref="K283">_xlfn.LET(
  _xlpm.y,$C283,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3" cm="1">
        <f t="array" ref="L283">_xlfn.LET(
  _xlpm.y,$C283,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3" cm="1">
        <f t="array" ref="M283">_xlfn.SWITCH(TRUE,
  $C283&lt;$Q$5,  $D$22,
  $C283&lt;$Q$6,  $D$23,
  $C283&lt;$Q$7,  $D$24,
  $C283&lt;$Q$8,  $D$25,
  $C283&lt;$Q$9,  $D$26,
  $C283&lt;$Q$10,  $D$27,
  $C283&lt;$Q$11,  $D$28,
  $C283&lt;$Q$12,  $D$29,
  $C283&lt;$Q$13,  $D$30,
  $C283&lt;100,  $D$31,
)</f>
        <v>6</v>
      </c>
      <c r="N283">
        <v>13.039036058796164</v>
      </c>
      <c r="O283">
        <v>2.3083133779947969</v>
      </c>
      <c r="P283">
        <v>11.327188368890855</v>
      </c>
      <c r="Q283" s="129">
        <v>1.1638660823476543</v>
      </c>
      <c r="R283" s="244" cm="1">
        <f t="array" ref="R283">_xlfn.SWITCH(TRUE,
  $C283&lt;$Q$5,  $S$41*$C283+$T$41,
  $C283&lt;$Q$6,  $S$42*$C283+$T$42,
  $C283&lt;$Q$7,  $S$43*$C283+$T$43,
  $C283&lt;$Q$8, $S$44*$C283+$T$44,
  $C283&lt;$Q$9, $S$45*$C283+$T$45,
  $C283&lt;$Q$10, $S$46*$C283+$T$46,
  $C283&lt;$Q$11,  $S$47*$C283+$T$47,
  $C283&lt;$Q$12, $S$48*$C283+$T$48,
  $S$49*$C283+$T$49
)</f>
        <v>0.51729729729729734</v>
      </c>
      <c r="S283" cm="1">
        <f t="array" ref="S283">_xlfn.SWITCH(TRUE,
  $C283&lt;$Q$5,  $U$41*$C283+$V$41,
  $C283&lt;$Q$6,  $U$42*$C283+$V$42,
  $C283&lt;$Q$7,  $U$43*$C283+$V$43,
  $C283&lt;$Q$8, $U$44*$C283+$V$44,
  $C283&lt;$Q$9, $U$45*$C283+$V$45,
  $C283&lt;$Q$10, $U$46*$C283+$V$46,
  $C283&lt;$Q$11,  $U$47*$C283+$V$47,
  $C283&lt;$Q$12, $U$48*$C283+$V$48,
  $U$49*$C283+$V$49
)</f>
        <v>2.4189189189189202</v>
      </c>
      <c r="T283">
        <f t="shared" si="21"/>
        <v>0</v>
      </c>
      <c r="U283">
        <f t="shared" si="22"/>
        <v>0</v>
      </c>
      <c r="V283">
        <f t="shared" si="23"/>
        <v>1</v>
      </c>
      <c r="W283">
        <f t="shared" si="24"/>
        <v>0</v>
      </c>
      <c r="X283">
        <f t="shared" si="25"/>
        <v>0</v>
      </c>
      <c r="Y283">
        <f t="shared" si="26"/>
        <v>6</v>
      </c>
      <c r="Z283">
        <v>12.099936535255878</v>
      </c>
      <c r="AA283">
        <v>1.7009626088574594</v>
      </c>
      <c r="AB283">
        <v>11.340099162967121</v>
      </c>
      <c r="AC283" s="129">
        <v>1.0780770144599954</v>
      </c>
      <c r="AD283" s="244" cm="1">
        <f t="array" ref="AD283">_xlfn.SWITCH(TRUE,
  $C283&lt;$Q$5,  $S$61*$C283+$T$61,
  $C283&lt;$Q$6,  $S$62*$C283+$T$62,
  $C283&lt;$Q$7,  $S$63*$C283+$T$63,
  $C283&lt;$Q$8, $S$64*$C283+$T$64,
  $C283&lt;$Q$9, $S$65*$C283+$T$65,
  $C283&lt;$Q$10, $S$66*$C283+$T$66,
  $C283&lt;$Q$11,  $S$67*$C283+$T$67,
  $C283&lt;$Q$12, $S$68*$C283+$T$68,
  $S$69*$C283+$T$69
)</f>
        <v>0.52243243243243231</v>
      </c>
      <c r="AE283" cm="1">
        <f t="array" ref="AE283">_xlfn.SWITCH(TRUE,
  $C283&lt;$Q$5,  $U$61*$C283+$V$61,
  $C283&lt;$Q$6,  $U$62*$C283+$V$62,
  $C283&lt;$Q$7,  $U$63*$C283+$V$63,
  $C283&lt;$Q$8, $U$64*$C283+$V$64,
  $C283&lt;$Q$9, $U$65*$C283+$V$65,
  $C283&lt;$Q$10, $U$66*$C283+$V$66,
  $C283&lt;$Q$11,  $U$67*$C283+$V$67,
  $C283&lt;$Q$12, $U$68*$C283+$V$68,
  $U$69*$C283+$V$69
)</f>
        <v>2.4189189189189202</v>
      </c>
      <c r="AF283" cm="1">
        <f t="array" ref="AF283">_xlfn.LET(
  _xlpm.y,$C283,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3" cm="1">
        <f t="array" ref="AG283">_xlfn.LET(
  _xlpm.y,$C283,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3" cm="1">
        <f t="array" ref="AH283">_xlfn.LET(
  _xlpm.y,$C283,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3" cm="1">
        <f t="array" ref="AI283">_xlfn.LET(
  _xlpm.y,$C283,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3" cm="1">
        <f t="array" ref="AJ283">_xlfn.LET(
  _xlpm.y,$C283,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3">
        <f t="shared" si="27"/>
        <v>6</v>
      </c>
      <c r="AL283">
        <v>11.800966649744668</v>
      </c>
      <c r="AM283">
        <v>1.4344579149588847</v>
      </c>
      <c r="AN283">
        <v>11.34306475431652</v>
      </c>
      <c r="AO283">
        <v>1.0599164315884524</v>
      </c>
    </row>
    <row r="284" spans="2:41">
      <c r="B284">
        <f>'主翼(型紙出力)'!B127</f>
        <v>76</v>
      </c>
      <c r="C284">
        <f>INT(('主翼(型紙出力)'!C127)*1000)/1000</f>
        <v>11.574999999999999</v>
      </c>
      <c r="D284">
        <f>'主翼(型紙出力)'!E127</f>
        <v>0.15</v>
      </c>
      <c r="E284">
        <f>'主翼(重量推算)'!CE124</f>
        <v>0.77746148573094087</v>
      </c>
      <c r="F284" s="244" cm="1">
        <f t="array" ref="F284">_xlfn.SWITCH(TRUE,
  $C284&lt;$Q$5,  $S$22*$C284+$T$22,
  $C284&lt;$Q$6,  $S$23*$C284+$T$23,
  $C284&lt;$Q$7,  $S$24*$C284+$T$24,
  $C284&lt;$Q$8, $S$25*$C284+$T$25,
  $C284&lt;$Q$9, $S$26*$C284+$T$26,
  $C284&lt;$Q$10, $S$27*$C284+$T$27,
  $C284&lt;$Q$11,  $S$28*$C284+$T$28,
  $C284&lt;$Q$12, $S$29*$C284+$T$29,
  $S$30*$C284+$T$30
)</f>
        <v>0.60135135135135154</v>
      </c>
      <c r="G284" cm="1">
        <f t="array" ref="G284">_xlfn.SWITCH(TRUE,
  $C284&lt;$Q$5,  $U$22*$C284+$V$22,
  $C284&lt;$Q$6,  $U$23*$C284+$V$23,
  $C284&lt;$Q$7,  $U$24*$C284+$V$24,
  $C284&lt;$Q$8, $U$25*$C284+$V$25,
  $C284&lt;$Q$9, $U$26*$C284+$V$26,
  $C284&lt;$Q$10, $U$27*$C284+$V$27,
  $C284&lt;$Q$11,  $U$28*$C284+$V$28,
  $C284&lt;$Q$12, $U$29*$C284+$V$29,
  $U$30*$C284+$V$30
)</f>
        <v>2.5405405405405421</v>
      </c>
      <c r="H284" cm="1">
        <f t="array" ref="H284">_xlfn.LET(
  _xlpm.y,$C284,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4" cm="1">
        <f t="array" ref="I284">_xlfn.LET(
  _xlpm.y,$C284,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4" cm="1">
        <f t="array" ref="J284">_xlfn.LET(
  _xlpm.y,$C284,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4" cm="1">
        <f t="array" ref="K284">_xlfn.LET(
  _xlpm.y,$C284,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4" cm="1">
        <f t="array" ref="L284">_xlfn.LET(
  _xlpm.y,$C284,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4" cm="1">
        <f t="array" ref="M284">_xlfn.SWITCH(TRUE,
  $C284&lt;$Q$5,  $D$22,
  $C284&lt;$Q$6,  $D$23,
  $C284&lt;$Q$7,  $D$24,
  $C284&lt;$Q$8,  $D$25,
  $C284&lt;$Q$9,  $D$26,
  $C284&lt;$Q$10,  $D$27,
  $C284&lt;$Q$11,  $D$28,
  $C284&lt;$Q$12,  $D$29,
  $C284&lt;$Q$13,  $D$30,
  $C284&lt;100,  $D$31,
)</f>
        <v>6</v>
      </c>
      <c r="N284">
        <v>13.070656752729354</v>
      </c>
      <c r="O284">
        <v>2.194302562693478</v>
      </c>
      <c r="P284">
        <v>11.473320855554563</v>
      </c>
      <c r="Q284" s="129">
        <v>1.1977083095421066</v>
      </c>
      <c r="R284" s="244" cm="1">
        <f t="array" ref="R284">_xlfn.SWITCH(TRUE,
  $C284&lt;$Q$5,  $S$41*$C284+$T$41,
  $C284&lt;$Q$6,  $S$42*$C284+$T$42,
  $C284&lt;$Q$7,  $S$43*$C284+$T$43,
  $C284&lt;$Q$8, $S$44*$C284+$T$44,
  $C284&lt;$Q$9, $S$45*$C284+$T$45,
  $C284&lt;$Q$10, $S$46*$C284+$T$46,
  $C284&lt;$Q$11,  $S$47*$C284+$T$47,
  $C284&lt;$Q$12, $S$48*$C284+$T$48,
  $S$49*$C284+$T$49
)</f>
        <v>0.49459459459459487</v>
      </c>
      <c r="S284" cm="1">
        <f t="array" ref="S284">_xlfn.SWITCH(TRUE,
  $C284&lt;$Q$5,  $U$41*$C284+$V$41,
  $C284&lt;$Q$6,  $U$42*$C284+$V$42,
  $C284&lt;$Q$7,  $U$43*$C284+$V$43,
  $C284&lt;$Q$8, $U$44*$C284+$V$44,
  $C284&lt;$Q$9, $U$45*$C284+$V$45,
  $C284&lt;$Q$10, $U$46*$C284+$V$46,
  $C284&lt;$Q$11,  $U$47*$C284+$V$47,
  $C284&lt;$Q$12, $U$48*$C284+$V$48,
  $U$49*$C284+$V$49
)</f>
        <v>2.3378378378378395</v>
      </c>
      <c r="T284">
        <f t="shared" si="21"/>
        <v>0</v>
      </c>
      <c r="U284">
        <f t="shared" si="22"/>
        <v>0</v>
      </c>
      <c r="V284">
        <f t="shared" si="23"/>
        <v>1</v>
      </c>
      <c r="W284">
        <f t="shared" si="24"/>
        <v>0</v>
      </c>
      <c r="X284">
        <f t="shared" si="25"/>
        <v>0</v>
      </c>
      <c r="Y284">
        <f t="shared" si="26"/>
        <v>6</v>
      </c>
      <c r="Z284">
        <v>12.126823078621538</v>
      </c>
      <c r="AA284">
        <v>1.6076877370369702</v>
      </c>
      <c r="AB284">
        <v>11.486766683309012</v>
      </c>
      <c r="AC284" s="129">
        <v>1.1095196364365598</v>
      </c>
      <c r="AD284" s="244" cm="1">
        <f t="array" ref="AD284">_xlfn.SWITCH(TRUE,
  $C284&lt;$Q$5,  $S$61*$C284+$T$61,
  $C284&lt;$Q$6,  $S$62*$C284+$T$62,
  $C284&lt;$Q$7,  $S$63*$C284+$T$63,
  $C284&lt;$Q$8, $S$64*$C284+$T$64,
  $C284&lt;$Q$9, $S$65*$C284+$T$65,
  $C284&lt;$Q$10, $S$66*$C284+$T$66,
  $C284&lt;$Q$11,  $S$67*$C284+$T$67,
  $C284&lt;$Q$12, $S$68*$C284+$T$68,
  $S$69*$C284+$T$69
)</f>
        <v>0.49486486486486525</v>
      </c>
      <c r="AE284" cm="1">
        <f t="array" ref="AE284">_xlfn.SWITCH(TRUE,
  $C284&lt;$Q$5,  $U$61*$C284+$V$61,
  $C284&lt;$Q$6,  $U$62*$C284+$V$62,
  $C284&lt;$Q$7,  $U$63*$C284+$V$63,
  $C284&lt;$Q$8, $U$64*$C284+$V$64,
  $C284&lt;$Q$9, $U$65*$C284+$V$65,
  $C284&lt;$Q$10, $U$66*$C284+$V$66,
  $C284&lt;$Q$11,  $U$67*$C284+$V$67,
  $C284&lt;$Q$12, $U$68*$C284+$V$68,
  $U$69*$C284+$V$69
)</f>
        <v>2.3378378378378395</v>
      </c>
      <c r="AF284" cm="1">
        <f t="array" ref="AF284">_xlfn.LET(
  _xlpm.y,$C284,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4" cm="1">
        <f t="array" ref="AG284">_xlfn.LET(
  _xlpm.y,$C284,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4" cm="1">
        <f t="array" ref="AH284">_xlfn.LET(
  _xlpm.y,$C284,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4" cm="1">
        <f t="array" ref="AI284">_xlfn.LET(
  _xlpm.y,$C284,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4" cm="1">
        <f t="array" ref="AJ284">_xlfn.LET(
  _xlpm.y,$C284,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4">
        <f t="shared" si="27"/>
        <v>6</v>
      </c>
      <c r="AL284">
        <v>11.823223548450688</v>
      </c>
      <c r="AM284">
        <v>1.3408943342371602</v>
      </c>
      <c r="AN284">
        <v>11.489894345095172</v>
      </c>
      <c r="AO284">
        <v>1.0905933165635266</v>
      </c>
    </row>
    <row r="285" spans="2:41">
      <c r="B285">
        <f>'主翼(型紙出力)'!B128</f>
        <v>77</v>
      </c>
      <c r="C285">
        <f>INT(('主翼(型紙出力)'!C128)*1000)/1000</f>
        <v>11.725</v>
      </c>
      <c r="D285">
        <f>'主翼(型紙出力)'!E128</f>
        <v>0.15</v>
      </c>
      <c r="E285">
        <f>'主翼(重量推算)'!CE125</f>
        <v>0.76420554423087861</v>
      </c>
      <c r="F285" s="244" cm="1">
        <f t="array" ref="F285">_xlfn.SWITCH(TRUE,
  $C285&lt;$Q$5,  $S$22*$C285+$T$22,
  $C285&lt;$Q$6,  $S$23*$C285+$T$23,
  $C285&lt;$Q$7,  $S$24*$C285+$T$24,
  $C285&lt;$Q$8, $S$25*$C285+$T$25,
  $C285&lt;$Q$9, $S$26*$C285+$T$26,
  $C285&lt;$Q$10, $S$27*$C285+$T$27,
  $C285&lt;$Q$11,  $S$28*$C285+$T$28,
  $C285&lt;$Q$12, $S$29*$C285+$T$29,
  $S$30*$C285+$T$30
)</f>
        <v>0.57702702702702724</v>
      </c>
      <c r="G285" cm="1">
        <f t="array" ref="G285">_xlfn.SWITCH(TRUE,
  $C285&lt;$Q$5,  $U$22*$C285+$V$22,
  $C285&lt;$Q$6,  $U$23*$C285+$V$23,
  $C285&lt;$Q$7,  $U$24*$C285+$V$24,
  $C285&lt;$Q$8, $U$25*$C285+$V$25,
  $C285&lt;$Q$9, $U$26*$C285+$V$26,
  $C285&lt;$Q$10, $U$27*$C285+$V$27,
  $C285&lt;$Q$11,  $U$28*$C285+$V$28,
  $C285&lt;$Q$12, $U$29*$C285+$V$29,
  $U$30*$C285+$V$30
)</f>
        <v>2.4108108108108119</v>
      </c>
      <c r="H285" cm="1">
        <f t="array" ref="H285">_xlfn.LET(
  _xlpm.y,$C285,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5" cm="1">
        <f t="array" ref="I285">_xlfn.LET(
  _xlpm.y,$C285,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5" cm="1">
        <f t="array" ref="J285">_xlfn.LET(
  _xlpm.y,$C285,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5" cm="1">
        <f t="array" ref="K285">_xlfn.LET(
  _xlpm.y,$C285,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5" cm="1">
        <f t="array" ref="L285">_xlfn.LET(
  _xlpm.y,$C285,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5" cm="1">
        <f t="array" ref="M285">_xlfn.SWITCH(TRUE,
  $C285&lt;$Q$5,  $D$22,
  $C285&lt;$Q$6,  $D$23,
  $C285&lt;$Q$7,  $D$24,
  $C285&lt;$Q$8,  $D$25,
  $C285&lt;$Q$9,  $D$26,
  $C285&lt;$Q$10,  $D$27,
  $C285&lt;$Q$11,  $D$28,
  $C285&lt;$Q$12,  $D$29,
  $C285&lt;$Q$13,  $D$30,
  $C285&lt;100,  $D$31,
)</f>
        <v>6</v>
      </c>
      <c r="N285">
        <v>13.097602152195188</v>
      </c>
      <c r="O285">
        <v>2.0734195580368646</v>
      </c>
      <c r="P285">
        <v>11.61943464293987</v>
      </c>
      <c r="Q285" s="129">
        <v>1.231631179938361</v>
      </c>
      <c r="R285" s="244" cm="1">
        <f t="array" ref="R285">_xlfn.SWITCH(TRUE,
  $C285&lt;$Q$5,  $S$41*$C285+$T$41,
  $C285&lt;$Q$6,  $S$42*$C285+$T$42,
  $C285&lt;$Q$7,  $S$43*$C285+$T$43,
  $C285&lt;$Q$8, $S$44*$C285+$T$44,
  $C285&lt;$Q$9, $S$45*$C285+$T$45,
  $C285&lt;$Q$10, $S$46*$C285+$T$46,
  $C285&lt;$Q$11,  $S$47*$C285+$T$47,
  $C285&lt;$Q$12, $S$48*$C285+$T$48,
  $S$49*$C285+$T$49
)</f>
        <v>0.47189189189189218</v>
      </c>
      <c r="S285" cm="1">
        <f t="array" ref="S285">_xlfn.SWITCH(TRUE,
  $C285&lt;$Q$5,  $U$41*$C285+$V$41,
  $C285&lt;$Q$6,  $U$42*$C285+$V$42,
  $C285&lt;$Q$7,  $U$43*$C285+$V$43,
  $C285&lt;$Q$8, $U$44*$C285+$V$44,
  $C285&lt;$Q$9, $U$45*$C285+$V$45,
  $C285&lt;$Q$10, $U$46*$C285+$V$46,
  $C285&lt;$Q$11,  $U$47*$C285+$V$47,
  $C285&lt;$Q$12, $U$48*$C285+$V$48,
  $U$49*$C285+$V$49
)</f>
        <v>2.2567567567567579</v>
      </c>
      <c r="T285">
        <f t="shared" si="21"/>
        <v>0</v>
      </c>
      <c r="U285">
        <f t="shared" si="22"/>
        <v>0</v>
      </c>
      <c r="V285">
        <f t="shared" si="23"/>
        <v>1</v>
      </c>
      <c r="W285">
        <f t="shared" si="24"/>
        <v>0</v>
      </c>
      <c r="X285">
        <f t="shared" si="25"/>
        <v>0</v>
      </c>
      <c r="Y285">
        <f t="shared" si="26"/>
        <v>6</v>
      </c>
      <c r="Z285">
        <v>12.149943165998891</v>
      </c>
      <c r="AA285">
        <v>1.5125043007893602</v>
      </c>
      <c r="AB285">
        <v>11.633419432778968</v>
      </c>
      <c r="AC285" s="129">
        <v>1.141031079959546</v>
      </c>
      <c r="AD285" s="244" cm="1">
        <f t="array" ref="AD285">_xlfn.SWITCH(TRUE,
  $C285&lt;$Q$5,  $S$61*$C285+$T$61,
  $C285&lt;$Q$6,  $S$62*$C285+$T$62,
  $C285&lt;$Q$7,  $S$63*$C285+$T$63,
  $C285&lt;$Q$8, $S$64*$C285+$T$64,
  $C285&lt;$Q$9, $S$65*$C285+$T$65,
  $C285&lt;$Q$10, $S$66*$C285+$T$66,
  $C285&lt;$Q$11,  $S$67*$C285+$T$67,
  $C285&lt;$Q$12, $S$68*$C285+$T$68,
  $S$69*$C285+$T$69
)</f>
        <v>0.4672972972972973</v>
      </c>
      <c r="AE285" cm="1">
        <f t="array" ref="AE285">_xlfn.SWITCH(TRUE,
  $C285&lt;$Q$5,  $U$61*$C285+$V$61,
  $C285&lt;$Q$6,  $U$62*$C285+$V$62,
  $C285&lt;$Q$7,  $U$63*$C285+$V$63,
  $C285&lt;$Q$8, $U$64*$C285+$V$64,
  $C285&lt;$Q$9, $U$65*$C285+$V$65,
  $C285&lt;$Q$10, $U$66*$C285+$V$66,
  $C285&lt;$Q$11,  $U$67*$C285+$V$67,
  $C285&lt;$Q$12, $U$68*$C285+$V$68,
  $U$69*$C285+$V$69
)</f>
        <v>2.2567567567567579</v>
      </c>
      <c r="AF285" cm="1">
        <f t="array" ref="AF285">_xlfn.LET(
  _xlpm.y,$C285,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5" cm="1">
        <f t="array" ref="AG285">_xlfn.LET(
  _xlpm.y,$C285,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5" cm="1">
        <f t="array" ref="AH285">_xlfn.LET(
  _xlpm.y,$C285,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5" cm="1">
        <f t="array" ref="AI285">_xlfn.LET(
  _xlpm.y,$C285,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5" cm="1">
        <f t="array" ref="AJ285">_xlfn.LET(
  _xlpm.y,$C285,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5">
        <f t="shared" si="27"/>
        <v>6</v>
      </c>
      <c r="AL285">
        <v>11.842390819562322</v>
      </c>
      <c r="AM285">
        <v>1.2468738719455348</v>
      </c>
      <c r="AN285">
        <v>11.63671200817091</v>
      </c>
      <c r="AO285">
        <v>1.1213272360821751</v>
      </c>
    </row>
    <row r="286" spans="2:41">
      <c r="B286">
        <f>'主翼(型紙出力)'!B129</f>
        <v>78</v>
      </c>
      <c r="C286">
        <f>INT(('主翼(型紙出力)'!C129)*1000)/1000</f>
        <v>11.875</v>
      </c>
      <c r="D286">
        <f>'主翼(型紙出力)'!E129</f>
        <v>0.15</v>
      </c>
      <c r="E286">
        <f>'主翼(重量推算)'!CE126</f>
        <v>0.72422638664292838</v>
      </c>
      <c r="F286" s="244" cm="1">
        <f t="array" ref="F286">_xlfn.SWITCH(TRUE,
  $C286&lt;$Q$5,  $S$22*$C286+$T$22,
  $C286&lt;$Q$6,  $S$23*$C286+$T$23,
  $C286&lt;$Q$7,  $S$24*$C286+$T$24,
  $C286&lt;$Q$8, $S$25*$C286+$T$25,
  $C286&lt;$Q$9, $S$26*$C286+$T$26,
  $C286&lt;$Q$10, $S$27*$C286+$T$27,
  $C286&lt;$Q$11,  $S$28*$C286+$T$28,
  $C286&lt;$Q$12, $S$29*$C286+$T$29,
  $S$30*$C286+$T$30
)</f>
        <v>0.55270270270270272</v>
      </c>
      <c r="G286" cm="1">
        <f t="array" ref="G286">_xlfn.SWITCH(TRUE,
  $C286&lt;$Q$5,  $U$22*$C286+$V$22,
  $C286&lt;$Q$6,  $U$23*$C286+$V$23,
  $C286&lt;$Q$7,  $U$24*$C286+$V$24,
  $C286&lt;$Q$8, $U$25*$C286+$V$25,
  $C286&lt;$Q$9, $U$26*$C286+$V$26,
  $C286&lt;$Q$10, $U$27*$C286+$V$27,
  $C286&lt;$Q$11,  $U$28*$C286+$V$28,
  $C286&lt;$Q$12, $U$29*$C286+$V$29,
  $U$30*$C286+$V$30
)</f>
        <v>2.2810810810810818</v>
      </c>
      <c r="H286" cm="1">
        <f t="array" ref="H286">_xlfn.LET(
  _xlpm.y,$C286,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6" cm="1">
        <f t="array" ref="I286">_xlfn.LET(
  _xlpm.y,$C286,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6" cm="1">
        <f t="array" ref="J286">_xlfn.LET(
  _xlpm.y,$C286,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6" cm="1">
        <f t="array" ref="K286">_xlfn.LET(
  _xlpm.y,$C286,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6" cm="1">
        <f t="array" ref="L286">_xlfn.LET(
  _xlpm.y,$C286,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6" cm="1">
        <f t="array" ref="M286">_xlfn.SWITCH(TRUE,
  $C286&lt;$Q$5,  $D$22,
  $C286&lt;$Q$6,  $D$23,
  $C286&lt;$Q$7,  $D$24,
  $C286&lt;$Q$8,  $D$25,
  $C286&lt;$Q$9,  $D$26,
  $C286&lt;$Q$10,  $D$27,
  $C286&lt;$Q$11,  $D$28,
  $C286&lt;$Q$12,  $D$29,
  $C286&lt;$Q$13,  $D$30,
  $C286&lt;100,  $D$31,
)</f>
        <v>6</v>
      </c>
      <c r="N286">
        <v>13.119988502703903</v>
      </c>
      <c r="O286">
        <v>1.9450242790220738</v>
      </c>
      <c r="P286">
        <v>11.7655324607189</v>
      </c>
      <c r="Q286" s="129">
        <v>1.2656227618404343</v>
      </c>
      <c r="R286" s="244" cm="1">
        <f t="array" ref="R286">_xlfn.SWITCH(TRUE,
  $C286&lt;$Q$5,  $S$41*$C286+$T$41,
  $C286&lt;$Q$6,  $S$42*$C286+$T$42,
  $C286&lt;$Q$7,  $S$43*$C286+$T$43,
  $C286&lt;$Q$8, $S$44*$C286+$T$44,
  $C286&lt;$Q$9, $S$45*$C286+$T$45,
  $C286&lt;$Q$10, $S$46*$C286+$T$46,
  $C286&lt;$Q$11,  $S$47*$C286+$T$47,
  $C286&lt;$Q$12, $S$48*$C286+$T$48,
  $S$49*$C286+$T$49
)</f>
        <v>0.44918918918918926</v>
      </c>
      <c r="S286" cm="1">
        <f t="array" ref="S286">_xlfn.SWITCH(TRUE,
  $C286&lt;$Q$5,  $U$41*$C286+$V$41,
  $C286&lt;$Q$6,  $U$42*$C286+$V$42,
  $C286&lt;$Q$7,  $U$43*$C286+$V$43,
  $C286&lt;$Q$8, $U$44*$C286+$V$44,
  $C286&lt;$Q$9, $U$45*$C286+$V$45,
  $C286&lt;$Q$10, $U$46*$C286+$V$46,
  $C286&lt;$Q$11,  $U$47*$C286+$V$47,
  $C286&lt;$Q$12, $U$48*$C286+$V$48,
  $U$49*$C286+$V$49
)</f>
        <v>2.1756756756756772</v>
      </c>
      <c r="T286">
        <f t="shared" si="21"/>
        <v>0</v>
      </c>
      <c r="U286">
        <f t="shared" si="22"/>
        <v>0</v>
      </c>
      <c r="V286">
        <f t="shared" si="23"/>
        <v>1</v>
      </c>
      <c r="W286">
        <f t="shared" si="24"/>
        <v>0</v>
      </c>
      <c r="X286">
        <f t="shared" si="25"/>
        <v>0</v>
      </c>
      <c r="Y286">
        <f t="shared" si="26"/>
        <v>6</v>
      </c>
      <c r="Z286">
        <v>12.169320242484265</v>
      </c>
      <c r="AA286">
        <v>1.4153380537486278</v>
      </c>
      <c r="AB286">
        <v>11.780059454759932</v>
      </c>
      <c r="AC286" s="129">
        <v>1.1726016984745886</v>
      </c>
      <c r="AD286" s="244" cm="1">
        <f t="array" ref="AD286">_xlfn.SWITCH(TRUE,
  $C286&lt;$Q$5,  $S$61*$C286+$T$61,
  $C286&lt;$Q$6,  $S$62*$C286+$T$62,
  $C286&lt;$Q$7,  $S$63*$C286+$T$63,
  $C286&lt;$Q$8, $S$64*$C286+$T$64,
  $C286&lt;$Q$9, $S$65*$C286+$T$65,
  $C286&lt;$Q$10, $S$66*$C286+$T$66,
  $C286&lt;$Q$11,  $S$67*$C286+$T$67,
  $C286&lt;$Q$12, $S$68*$C286+$T$68,
  $S$69*$C286+$T$69
)</f>
        <v>0.43972972972972979</v>
      </c>
      <c r="AE286" cm="1">
        <f t="array" ref="AE286">_xlfn.SWITCH(TRUE,
  $C286&lt;$Q$5,  $U$61*$C286+$V$61,
  $C286&lt;$Q$6,  $U$62*$C286+$V$62,
  $C286&lt;$Q$7,  $U$63*$C286+$V$63,
  $C286&lt;$Q$8, $U$64*$C286+$V$64,
  $C286&lt;$Q$9, $U$65*$C286+$V$65,
  $C286&lt;$Q$10, $U$66*$C286+$V$66,
  $C286&lt;$Q$11,  $U$67*$C286+$V$67,
  $C286&lt;$Q$12, $U$68*$C286+$V$68,
  $U$69*$C286+$V$69
)</f>
        <v>2.1756756756756772</v>
      </c>
      <c r="AF286" cm="1">
        <f t="array" ref="AF286">_xlfn.LET(
  _xlpm.y,$C286,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6" cm="1">
        <f t="array" ref="AG286">_xlfn.LET(
  _xlpm.y,$C286,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6" cm="1">
        <f t="array" ref="AH286">_xlfn.LET(
  _xlpm.y,$C286,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6" cm="1">
        <f t="array" ref="AI286">_xlfn.LET(
  _xlpm.y,$C286,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6" cm="1">
        <f t="array" ref="AJ286">_xlfn.LET(
  _xlpm.y,$C286,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6">
        <f t="shared" si="27"/>
        <v>6</v>
      </c>
      <c r="AL286">
        <v>11.858494412555496</v>
      </c>
      <c r="AM286">
        <v>1.1525820746592961</v>
      </c>
      <c r="AN286">
        <v>11.783519381552296</v>
      </c>
      <c r="AO286">
        <v>1.1521102690850911</v>
      </c>
    </row>
    <row r="287" spans="2:41">
      <c r="B287">
        <f>'主翼(型紙出力)'!B130</f>
        <v>79</v>
      </c>
      <c r="C287">
        <f>INT(('主翼(型紙出力)'!C130)*1000)/1000</f>
        <v>12.025</v>
      </c>
      <c r="D287">
        <f>'主翼(型紙出力)'!E130</f>
        <v>0.17499999999999999</v>
      </c>
      <c r="E287">
        <f>'主翼(重量推算)'!CE127</f>
        <v>0.81796886182761008</v>
      </c>
      <c r="F287" s="244" cm="1">
        <f t="array" ref="F287">_xlfn.SWITCH(TRUE,
  $C287&lt;$Q$5,  $S$22*$C287+$T$22,
  $C287&lt;$Q$6,  $S$23*$C287+$T$23,
  $C287&lt;$Q$7,  $S$24*$C287+$T$24,
  $C287&lt;$Q$8, $S$25*$C287+$T$25,
  $C287&lt;$Q$9, $S$26*$C287+$T$26,
  $C287&lt;$Q$10, $S$27*$C287+$T$27,
  $C287&lt;$Q$11,  $S$28*$C287+$T$28,
  $C287&lt;$Q$12, $S$29*$C287+$T$29,
  $S$30*$C287+$T$30
)</f>
        <v>0.52837837837837842</v>
      </c>
      <c r="G287" cm="1">
        <f t="array" ref="G287">_xlfn.SWITCH(TRUE,
  $C287&lt;$Q$5,  $U$22*$C287+$V$22,
  $C287&lt;$Q$6,  $U$23*$C287+$V$23,
  $C287&lt;$Q$7,  $U$24*$C287+$V$24,
  $C287&lt;$Q$8, $U$25*$C287+$V$25,
  $C287&lt;$Q$9, $U$26*$C287+$V$26,
  $C287&lt;$Q$10, $U$27*$C287+$V$27,
  $C287&lt;$Q$11,  $U$28*$C287+$V$28,
  $C287&lt;$Q$12, $U$29*$C287+$V$29,
  $U$30*$C287+$V$30
)</f>
        <v>2.1513513513513516</v>
      </c>
      <c r="H287" cm="1">
        <f t="array" ref="H287">_xlfn.LET(
  _xlpm.y,$C287,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7" cm="1">
        <f t="array" ref="I287">_xlfn.LET(
  _xlpm.y,$C287,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7" cm="1">
        <f t="array" ref="J287">_xlfn.LET(
  _xlpm.y,$C287,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7" cm="1">
        <f t="array" ref="K287">_xlfn.LET(
  _xlpm.y,$C287,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7" cm="1">
        <f t="array" ref="L287">_xlfn.LET(
  _xlpm.y,$C287,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7" cm="1">
        <f t="array" ref="M287">_xlfn.SWITCH(TRUE,
  $C287&lt;$Q$5,  $D$22,
  $C287&lt;$Q$6,  $D$23,
  $C287&lt;$Q$7,  $D$24,
  $C287&lt;$Q$8,  $D$25,
  $C287&lt;$Q$9,  $D$26,
  $C287&lt;$Q$10,  $D$27,
  $C287&lt;$Q$11,  $D$28,
  $C287&lt;$Q$12,  $D$29,
  $C287&lt;$Q$13,  $D$30,
  $C287&lt;100,  $D$31,
)</f>
        <v>6</v>
      </c>
      <c r="N287">
        <v>13.138832032616353</v>
      </c>
      <c r="O287">
        <v>1.7966660789412947</v>
      </c>
      <c r="P287">
        <v>11.911616986307992</v>
      </c>
      <c r="Q287" s="129">
        <v>1.2996714238319129</v>
      </c>
      <c r="R287" s="244" cm="1">
        <f t="array" ref="R287">_xlfn.SWITCH(TRUE,
  $C287&lt;$Q$5,  $S$41*$C287+$T$41,
  $C287&lt;$Q$6,  $S$42*$C287+$T$42,
  $C287&lt;$Q$7,  $S$43*$C287+$T$43,
  $C287&lt;$Q$8, $S$44*$C287+$T$44,
  $C287&lt;$Q$9, $S$45*$C287+$T$45,
  $C287&lt;$Q$10, $S$46*$C287+$T$46,
  $C287&lt;$Q$11,  $S$47*$C287+$T$47,
  $C287&lt;$Q$12, $S$48*$C287+$T$48,
  $S$49*$C287+$T$49
)</f>
        <v>0.42648648648648657</v>
      </c>
      <c r="S287" cm="1">
        <f t="array" ref="S287">_xlfn.SWITCH(TRUE,
  $C287&lt;$Q$5,  $U$41*$C287+$V$41,
  $C287&lt;$Q$6,  $U$42*$C287+$V$42,
  $C287&lt;$Q$7,  $U$43*$C287+$V$43,
  $C287&lt;$Q$8, $U$44*$C287+$V$44,
  $C287&lt;$Q$9, $U$45*$C287+$V$45,
  $C287&lt;$Q$10, $U$46*$C287+$V$46,
  $C287&lt;$Q$11,  $U$47*$C287+$V$47,
  $C287&lt;$Q$12, $U$48*$C287+$V$48,
  $U$49*$C287+$V$49
)</f>
        <v>2.0945945945945956</v>
      </c>
      <c r="T287">
        <f t="shared" si="21"/>
        <v>0</v>
      </c>
      <c r="U287">
        <f t="shared" si="22"/>
        <v>0</v>
      </c>
      <c r="V287">
        <f t="shared" si="23"/>
        <v>1</v>
      </c>
      <c r="W287">
        <f t="shared" si="24"/>
        <v>0</v>
      </c>
      <c r="X287">
        <f t="shared" si="25"/>
        <v>0</v>
      </c>
      <c r="Y287">
        <f t="shared" si="26"/>
        <v>6</v>
      </c>
      <c r="Z287">
        <v>12.185726855059308</v>
      </c>
      <c r="AA287">
        <v>1.3077492226394438</v>
      </c>
      <c r="AB287">
        <v>11.92668879136818</v>
      </c>
      <c r="AC287" s="129">
        <v>1.2042219079271719</v>
      </c>
      <c r="AD287" s="244" cm="1">
        <f t="array" ref="AD287">_xlfn.SWITCH(TRUE,
  $C287&lt;$Q$5,  $S$61*$C287+$T$61,
  $C287&lt;$Q$6,  $S$62*$C287+$T$62,
  $C287&lt;$Q$7,  $S$63*$C287+$T$63,
  $C287&lt;$Q$8, $S$64*$C287+$T$64,
  $C287&lt;$Q$9, $S$65*$C287+$T$65,
  $C287&lt;$Q$10, $S$66*$C287+$T$66,
  $C287&lt;$Q$11,  $S$67*$C287+$T$67,
  $C287&lt;$Q$12, $S$68*$C287+$T$68,
  $S$69*$C287+$T$69
)</f>
        <v>0.41216216216216184</v>
      </c>
      <c r="AE287" cm="1">
        <f t="array" ref="AE287">_xlfn.SWITCH(TRUE,
  $C287&lt;$Q$5,  $U$61*$C287+$V$61,
  $C287&lt;$Q$6,  $U$62*$C287+$V$62,
  $C287&lt;$Q$7,  $U$63*$C287+$V$63,
  $C287&lt;$Q$8, $U$64*$C287+$V$64,
  $C287&lt;$Q$9, $U$65*$C287+$V$65,
  $C287&lt;$Q$10, $U$66*$C287+$V$66,
  $C287&lt;$Q$11,  $U$67*$C287+$V$67,
  $C287&lt;$Q$12, $U$68*$C287+$V$68,
  $U$69*$C287+$V$69
)</f>
        <v>2.0945945945945956</v>
      </c>
      <c r="AF287" cm="1">
        <f t="array" ref="AF287">_xlfn.LET(
  _xlpm.y,$C287,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7" cm="1">
        <f t="array" ref="AG287">_xlfn.LET(
  _xlpm.y,$C287,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7" cm="1">
        <f t="array" ref="AH287">_xlfn.LET(
  _xlpm.y,$C287,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7" cm="1">
        <f t="array" ref="AI287">_xlfn.LET(
  _xlpm.y,$C287,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7" cm="1">
        <f t="array" ref="AJ287">_xlfn.LET(
  _xlpm.y,$C287,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7">
        <f t="shared" si="27"/>
        <v>6</v>
      </c>
      <c r="AL287">
        <v>11.872164951130857</v>
      </c>
      <c r="AM287">
        <v>1.0503613352051004</v>
      </c>
      <c r="AN287">
        <v>11.930318097233869</v>
      </c>
      <c r="AO287">
        <v>1.1829345626575454</v>
      </c>
    </row>
    <row r="288" spans="2:41">
      <c r="B288">
        <f>'主翼(型紙出力)'!B131</f>
        <v>80</v>
      </c>
      <c r="C288">
        <f>INT(('主翼(型紙出力)'!C131)*1000)/1000</f>
        <v>12.2</v>
      </c>
      <c r="D288">
        <f>'主翼(型紙出力)'!E131</f>
        <v>0.15</v>
      </c>
      <c r="E288">
        <f>'主翼(重量推算)'!CE128</f>
        <v>0.84084431822036454</v>
      </c>
      <c r="F288" s="244" cm="1">
        <f t="array" ref="F288">_xlfn.SWITCH(TRUE,
  $C288&lt;$Q$5,  $S$22*$C288+$T$22,
  $C288&lt;$Q$6,  $S$23*$C288+$T$23,
  $C288&lt;$Q$7,  $S$24*$C288+$T$24,
  $C288&lt;$Q$8, $S$25*$C288+$T$25,
  $C288&lt;$Q$9, $S$26*$C288+$T$26,
  $C288&lt;$Q$10, $S$27*$C288+$T$27,
  $C288&lt;$Q$11,  $S$28*$C288+$T$28,
  $C288&lt;$Q$12, $S$29*$C288+$T$29,
  $S$30*$C288+$T$30
)</f>
        <v>0.5</v>
      </c>
      <c r="G288" cm="1">
        <f t="array" ref="G288">_xlfn.SWITCH(TRUE,
  $C288&lt;$Q$5,  $U$22*$C288+$V$22,
  $C288&lt;$Q$6,  $U$23*$C288+$V$23,
  $C288&lt;$Q$7,  $U$24*$C288+$V$24,
  $C288&lt;$Q$8, $U$25*$C288+$V$25,
  $C288&lt;$Q$9, $U$26*$C288+$V$26,
  $C288&lt;$Q$10, $U$27*$C288+$V$27,
  $C288&lt;$Q$11,  $U$28*$C288+$V$28,
  $C288&lt;$Q$12, $U$29*$C288+$V$29,
  $U$30*$C288+$V$30
)</f>
        <v>2</v>
      </c>
      <c r="H288" cm="1">
        <f t="array" ref="H288">_xlfn.LET(
  _xlpm.y,$C288,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8" cm="1">
        <f t="array" ref="I288">_xlfn.LET(
  _xlpm.y,$C288,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8" cm="1">
        <f t="array" ref="J288">_xlfn.LET(
  _xlpm.y,$C288,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8" cm="1">
        <f t="array" ref="K288">_xlfn.LET(
  _xlpm.y,$C288,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8" cm="1">
        <f t="array" ref="L288">_xlfn.LET(
  _xlpm.y,$C288,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8" cm="1">
        <f t="array" ref="M288">_xlfn.SWITCH(TRUE,
  $C288&lt;$Q$5,  $D$22,
  $C288&lt;$Q$6,  $D$23,
  $C288&lt;$Q$7,  $D$24,
  $C288&lt;$Q$8,  $D$25,
  $C288&lt;$Q$9,  $D$26,
  $C288&lt;$Q$10,  $D$27,
  $C288&lt;$Q$11,  $D$28,
  $C288&lt;$Q$12,  $D$29,
  $C288&lt;$Q$13,  $D$30,
  $C288&lt;100,  $D$31,
)</f>
        <v>6</v>
      </c>
      <c r="N288">
        <v>13.153246365566989</v>
      </c>
      <c r="O288">
        <v>1.6377840401876136</v>
      </c>
      <c r="P288">
        <v>12.082035859301859</v>
      </c>
      <c r="Q288" s="129">
        <v>1.3394509126106791</v>
      </c>
      <c r="R288" s="244" cm="1">
        <f t="array" ref="R288">_xlfn.SWITCH(TRUE,
  $C288&lt;$Q$5,  $S$41*$C288+$T$41,
  $C288&lt;$Q$6,  $S$42*$C288+$T$42,
  $C288&lt;$Q$7,  $S$43*$C288+$T$43,
  $C288&lt;$Q$8, $S$44*$C288+$T$44,
  $C288&lt;$Q$9, $S$45*$C288+$T$45,
  $C288&lt;$Q$10, $S$46*$C288+$T$46,
  $C288&lt;$Q$11,  $S$47*$C288+$T$47,
  $C288&lt;$Q$12, $S$48*$C288+$T$48,
  $S$49*$C288+$T$49
)</f>
        <v>0.40000000000000036</v>
      </c>
      <c r="S288" cm="1">
        <f t="array" ref="S288">_xlfn.SWITCH(TRUE,
  $C288&lt;$Q$5,  $U$41*$C288+$V$41,
  $C288&lt;$Q$6,  $U$42*$C288+$V$42,
  $C288&lt;$Q$7,  $U$43*$C288+$V$43,
  $C288&lt;$Q$8, $U$44*$C288+$V$44,
  $C288&lt;$Q$9, $U$45*$C288+$V$45,
  $C288&lt;$Q$10, $U$46*$C288+$V$46,
  $C288&lt;$Q$11,  $U$47*$C288+$V$47,
  $C288&lt;$Q$12, $U$48*$C288+$V$48,
  $U$49*$C288+$V$49
)</f>
        <v>2</v>
      </c>
      <c r="T288">
        <f t="shared" si="21"/>
        <v>0</v>
      </c>
      <c r="U288">
        <f t="shared" si="22"/>
        <v>0</v>
      </c>
      <c r="V288">
        <f t="shared" si="23"/>
        <v>1</v>
      </c>
      <c r="W288">
        <f t="shared" si="24"/>
        <v>0</v>
      </c>
      <c r="X288">
        <f t="shared" si="25"/>
        <v>0</v>
      </c>
      <c r="Y288">
        <f t="shared" si="26"/>
        <v>6</v>
      </c>
      <c r="Z288">
        <v>12.198242363537588</v>
      </c>
      <c r="AA288">
        <v>1.1976452560336603</v>
      </c>
      <c r="AB288">
        <v>12.097745780231534</v>
      </c>
      <c r="AC288" s="129">
        <v>1.2411611358698704</v>
      </c>
      <c r="AD288" s="244" cm="1">
        <f t="array" ref="AD288">_xlfn.SWITCH(TRUE,
  $C288&lt;$Q$5,  $S$61*$C288+$T$61,
  $C288&lt;$Q$6,  $S$62*$C288+$T$62,
  $C288&lt;$Q$7,  $S$63*$C288+$T$63,
  $C288&lt;$Q$8, $S$64*$C288+$T$64,
  $C288&lt;$Q$9, $S$65*$C288+$T$65,
  $C288&lt;$Q$10, $S$66*$C288+$T$66,
  $C288&lt;$Q$11,  $S$67*$C288+$T$67,
  $C288&lt;$Q$12, $S$68*$C288+$T$68,
  $S$69*$C288+$T$69
)</f>
        <v>0.38000000000000012</v>
      </c>
      <c r="AE288" cm="1">
        <f t="array" ref="AE288">_xlfn.SWITCH(TRUE,
  $C288&lt;$Q$5,  $U$61*$C288+$V$61,
  $C288&lt;$Q$6,  $U$62*$C288+$V$62,
  $C288&lt;$Q$7,  $U$63*$C288+$V$63,
  $C288&lt;$Q$8, $U$64*$C288+$V$64,
  $C288&lt;$Q$9, $U$65*$C288+$V$65,
  $C288&lt;$Q$10, $U$66*$C288+$V$66,
  $C288&lt;$Q$11,  $U$67*$C288+$V$67,
  $C288&lt;$Q$12, $U$68*$C288+$V$68,
  $U$69*$C288+$V$69
)</f>
        <v>2</v>
      </c>
      <c r="AF288" cm="1">
        <f t="array" ref="AF288">_xlfn.LET(
  _xlpm.y,$C288,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8" cm="1">
        <f t="array" ref="AG288">_xlfn.LET(
  _xlpm.y,$C288,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8" cm="1">
        <f t="array" ref="AH288">_xlfn.LET(
  _xlpm.y,$C288,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8" cm="1">
        <f t="array" ref="AI288">_xlfn.LET(
  _xlpm.y,$C288,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8" cm="1">
        <f t="array" ref="AJ288">_xlfn.LET(
  _xlpm.y,$C288,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8">
        <f t="shared" si="27"/>
        <v>6</v>
      </c>
      <c r="AL288">
        <v>11.882596179608072</v>
      </c>
      <c r="AM288">
        <v>0.94833875649054877</v>
      </c>
      <c r="AN288">
        <v>12.101574680345504</v>
      </c>
      <c r="AO288">
        <v>1.2189371006365259</v>
      </c>
    </row>
    <row r="289" spans="2:41">
      <c r="B289">
        <f>'主翼(型紙出力)'!B132</f>
        <v>81</v>
      </c>
      <c r="C289">
        <f>INT(('主翼(型紙出力)'!C132)*1000)/1000</f>
        <v>12.35</v>
      </c>
      <c r="D289">
        <f>'主翼(型紙出力)'!E132</f>
        <v>0.15</v>
      </c>
      <c r="E289">
        <f>'主翼(重量推算)'!CE129</f>
        <v>0.27991428571428578</v>
      </c>
      <c r="F289" s="244" cm="1">
        <f t="array" ref="F289">_xlfn.SWITCH(TRUE,
  $C289&lt;$Q$5,  $S$22*$C289+$T$22,
  $C289&lt;$Q$6,  $S$23*$C289+$T$23,
  $C289&lt;$Q$7,  $S$24*$C289+$T$24,
  $C289&lt;$Q$8, $S$25*$C289+$T$25,
  $C289&lt;$Q$9, $S$26*$C289+$T$26,
  $C289&lt;$Q$10, $S$27*$C289+$T$27,
  $C289&lt;$Q$11,  $S$28*$C289+$T$28,
  $C289&lt;$Q$12, $S$29*$C289+$T$29,
  $S$30*$C289+$T$30
)</f>
        <v>0.42499999999999982</v>
      </c>
      <c r="G289" cm="1">
        <f t="array" ref="G289">_xlfn.SWITCH(TRUE,
  $C289&lt;$Q$5,  $U$22*$C289+$V$22,
  $C289&lt;$Q$6,  $U$23*$C289+$V$23,
  $C289&lt;$Q$7,  $U$24*$C289+$V$24,
  $C289&lt;$Q$8, $U$25*$C289+$V$25,
  $C289&lt;$Q$9, $U$26*$C289+$V$26,
  $C289&lt;$Q$10, $U$27*$C289+$V$27,
  $C289&lt;$Q$11,  $U$28*$C289+$V$28,
  $C289&lt;$Q$12, $U$29*$C289+$V$29,
  $U$30*$C289+$V$30
)</f>
        <v>2</v>
      </c>
      <c r="H289" cm="1">
        <f t="array" ref="H289">_xlfn.LET(
  _xlpm.y,$C289,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9" cm="1">
        <f t="array" ref="I289">_xlfn.LET(
  _xlpm.y,$C289,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9" cm="1">
        <f t="array" ref="J289">_xlfn.LET(
  _xlpm.y,$C289,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9" cm="1">
        <f t="array" ref="K289">_xlfn.LET(
  _xlpm.y,$C289,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9" cm="1">
        <f t="array" ref="L289">_xlfn.LET(
  _xlpm.y,$C289,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9" cm="1">
        <f t="array" ref="M289">_xlfn.SWITCH(TRUE,
  $C289&lt;$Q$5,  $D$22,
  $C289&lt;$Q$6,  $D$23,
  $C289&lt;$Q$7,  $D$24,
  $C289&lt;$Q$8,  $D$25,
  $C289&lt;$Q$9,  $D$26,
  $C289&lt;$Q$10,  $D$27,
  $C289&lt;$Q$11,  $D$28,
  $C289&lt;$Q$12,  $D$29,
  $C289&lt;$Q$13,  $D$30,
  $C289&lt;100,  $D$31,
)</f>
        <v>6</v>
      </c>
      <c r="N289">
        <v>13.162835883407098</v>
      </c>
      <c r="O289">
        <v>1.4809508741728616</v>
      </c>
      <c r="P289">
        <v>12.228100596422308</v>
      </c>
      <c r="Q289" s="129">
        <v>1.3735843649695296</v>
      </c>
      <c r="R289" s="244" cm="1">
        <f t="array" ref="R289">_xlfn.SWITCH(TRUE,
  $C289&lt;$Q$5,  $S$41*$C289+$T$41,
  $C289&lt;$Q$6,  $S$42*$C289+$T$42,
  $C289&lt;$Q$7,  $S$43*$C289+$T$43,
  $C289&lt;$Q$8, $S$44*$C289+$T$44,
  $C289&lt;$Q$9, $S$45*$C289+$T$45,
  $C289&lt;$Q$10, $S$46*$C289+$T$46,
  $C289&lt;$Q$11,  $S$47*$C289+$T$47,
  $C289&lt;$Q$12, $S$48*$C289+$T$48,
  $S$49*$C289+$T$49
)</f>
        <v>0.375</v>
      </c>
      <c r="S289" cm="1">
        <f t="array" ref="S289">_xlfn.SWITCH(TRUE,
  $C289&lt;$Q$5,  $U$41*$C289+$V$41,
  $C289&lt;$Q$6,  $U$42*$C289+$V$42,
  $C289&lt;$Q$7,  $U$43*$C289+$V$43,
  $C289&lt;$Q$8, $U$44*$C289+$V$44,
  $C289&lt;$Q$9, $U$45*$C289+$V$45,
  $C289&lt;$Q$10, $U$46*$C289+$V$46,
  $C289&lt;$Q$11,  $U$47*$C289+$V$47,
  $C289&lt;$Q$12, $U$48*$C289+$V$48,
  $U$49*$C289+$V$49
)</f>
        <v>2</v>
      </c>
      <c r="T289">
        <f t="shared" si="21"/>
        <v>0</v>
      </c>
      <c r="U289">
        <f t="shared" si="22"/>
        <v>0</v>
      </c>
      <c r="V289">
        <f t="shared" si="23"/>
        <v>1</v>
      </c>
      <c r="W289">
        <f t="shared" si="24"/>
        <v>0</v>
      </c>
      <c r="X289">
        <f t="shared" si="25"/>
        <v>0</v>
      </c>
      <c r="Y289">
        <f t="shared" si="26"/>
        <v>6</v>
      </c>
      <c r="Z289">
        <v>12.206416695677133</v>
      </c>
      <c r="AA289">
        <v>1.0936922286253885</v>
      </c>
      <c r="AB289">
        <v>12.244359136712605</v>
      </c>
      <c r="AC289" s="129">
        <v>1.2728553577621107</v>
      </c>
      <c r="AD289" s="244" cm="1">
        <f t="array" ref="AD289">_xlfn.SWITCH(TRUE,
  $C289&lt;$Q$5,  $S$61*$C289+$T$61,
  $C289&lt;$Q$6,  $S$62*$C289+$T$62,
  $C289&lt;$Q$7,  $S$63*$C289+$T$63,
  $C289&lt;$Q$8, $S$64*$C289+$T$64,
  $C289&lt;$Q$9, $S$65*$C289+$T$65,
  $C289&lt;$Q$10, $S$66*$C289+$T$66,
  $C289&lt;$Q$11,  $S$67*$C289+$T$67,
  $C289&lt;$Q$12, $S$68*$C289+$T$68,
  $S$69*$C289+$T$69
)</f>
        <v>0.36499999999999999</v>
      </c>
      <c r="AE289" cm="1">
        <f t="array" ref="AE289">_xlfn.SWITCH(TRUE,
  $C289&lt;$Q$5,  $U$61*$C289+$V$61,
  $C289&lt;$Q$6,  $U$62*$C289+$V$62,
  $C289&lt;$Q$7,  $U$63*$C289+$V$63,
  $C289&lt;$Q$8, $U$64*$C289+$V$64,
  $C289&lt;$Q$9, $U$65*$C289+$V$65,
  $C289&lt;$Q$10, $U$66*$C289+$V$66,
  $C289&lt;$Q$11,  $U$67*$C289+$V$67,
  $C289&lt;$Q$12, $U$68*$C289+$V$68,
  $U$69*$C289+$V$69
)</f>
        <v>2</v>
      </c>
      <c r="AF289" cm="1">
        <f t="array" ref="AF289">_xlfn.LET(
  _xlpm.y,$C289,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9" cm="1">
        <f t="array" ref="AG289">_xlfn.LET(
  _xlpm.y,$C289,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9" cm="1">
        <f t="array" ref="AH289">_xlfn.LET(
  _xlpm.y,$C289,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9" cm="1">
        <f t="array" ref="AI289">_xlfn.LET(
  _xlpm.y,$C289,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9" cm="1">
        <f t="array" ref="AJ289">_xlfn.LET(
  _xlpm.y,$C289,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9">
        <f t="shared" si="27"/>
        <v>6</v>
      </c>
      <c r="AL289">
        <v>11.889379700709345</v>
      </c>
      <c r="AM289">
        <v>0.85460291494935048</v>
      </c>
      <c r="AN289">
        <v>12.248360416640296</v>
      </c>
      <c r="AO289">
        <v>1.2498231431216948</v>
      </c>
    </row>
    <row r="290" spans="2:41">
      <c r="B290">
        <f>'主翼(型紙出力)'!B133</f>
        <v>82</v>
      </c>
      <c r="C290">
        <f>INT(('主翼(型紙出力)'!C133)*1000)/1000</f>
        <v>12.5</v>
      </c>
      <c r="D290">
        <f>'主翼(型紙出力)'!E133</f>
        <v>0.15</v>
      </c>
      <c r="E290">
        <f>'主翼(重量推算)'!CE130</f>
        <v>0.27991428571428578</v>
      </c>
      <c r="F290" s="244" cm="1">
        <f t="array" ref="F290">_xlfn.SWITCH(TRUE,
  $C290&lt;$Q$5,  $S$22*$C290+$T$22,
  $C290&lt;$Q$6,  $S$23*$C290+$T$23,
  $C290&lt;$Q$7,  $S$24*$C290+$T$24,
  $C290&lt;$Q$8, $S$25*$C290+$T$25,
  $C290&lt;$Q$9, $S$26*$C290+$T$26,
  $C290&lt;$Q$10, $S$27*$C290+$T$27,
  $C290&lt;$Q$11,  $S$28*$C290+$T$28,
  $C290&lt;$Q$12, $S$29*$C290+$T$29,
  $S$30*$C290+$T$30
)</f>
        <v>0.35000000000000053</v>
      </c>
      <c r="G290" cm="1">
        <f t="array" ref="G290">_xlfn.SWITCH(TRUE,
  $C290&lt;$Q$5,  $U$22*$C290+$V$22,
  $C290&lt;$Q$6,  $U$23*$C290+$V$23,
  $C290&lt;$Q$7,  $U$24*$C290+$V$24,
  $C290&lt;$Q$8, $U$25*$C290+$V$25,
  $C290&lt;$Q$9, $U$26*$C290+$V$26,
  $C290&lt;$Q$10, $U$27*$C290+$V$27,
  $C290&lt;$Q$11,  $U$28*$C290+$V$28,
  $C290&lt;$Q$12, $U$29*$C290+$V$29,
  $U$30*$C290+$V$30
)</f>
        <v>2</v>
      </c>
      <c r="H290" cm="1">
        <f t="array" ref="H290">_xlfn.LET(
  _xlpm.y,$C290,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0" cm="1">
        <f t="array" ref="I290">_xlfn.LET(
  _xlpm.y,$C290,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0" cm="1">
        <f t="array" ref="J290">_xlfn.LET(
  _xlpm.y,$C290,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0" cm="1">
        <f t="array" ref="K290">_xlfn.LET(
  _xlpm.y,$C290,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0" cm="1">
        <f t="array" ref="L290">_xlfn.LET(
  _xlpm.y,$C290,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0" cm="1">
        <f t="array" ref="M290">_xlfn.SWITCH(TRUE,
  $C290&lt;$Q$5,  $D$22,
  $C290&lt;$Q$6,  $D$23,
  $C290&lt;$Q$7,  $D$24,
  $C290&lt;$Q$8,  $D$25,
  $C290&lt;$Q$9,  $D$26,
  $C290&lt;$Q$10,  $D$27,
  $C290&lt;$Q$11,  $D$28,
  $C290&lt;$Q$12,  $D$29,
  $C290&lt;$Q$13,  $D$30,
  $C290&lt;100,  $D$31,
)</f>
        <v>6</v>
      </c>
      <c r="N290">
        <v>13.169323256038972</v>
      </c>
      <c r="O290">
        <v>1.3135300247110773</v>
      </c>
      <c r="P290">
        <v>12.3741596186268</v>
      </c>
      <c r="Q290" s="129">
        <v>1.4077422635095118</v>
      </c>
      <c r="R290" s="244" cm="1">
        <f t="array" ref="R290">_xlfn.SWITCH(TRUE,
  $C290&lt;$Q$5,  $S$41*$C290+$T$41,
  $C290&lt;$Q$6,  $S$42*$C290+$T$42,
  $C290&lt;$Q$7,  $S$43*$C290+$T$43,
  $C290&lt;$Q$8, $S$44*$C290+$T$44,
  $C290&lt;$Q$9, $S$45*$C290+$T$45,
  $C290&lt;$Q$10, $S$46*$C290+$T$46,
  $C290&lt;$Q$11,  $S$47*$C290+$T$47,
  $C290&lt;$Q$12, $S$48*$C290+$T$48,
  $S$49*$C290+$T$49
)</f>
        <v>0.35000000000000053</v>
      </c>
      <c r="S290" cm="1">
        <f t="array" ref="S290">_xlfn.SWITCH(TRUE,
  $C290&lt;$Q$5,  $U$41*$C290+$V$41,
  $C290&lt;$Q$6,  $U$42*$C290+$V$42,
  $C290&lt;$Q$7,  $U$43*$C290+$V$43,
  $C290&lt;$Q$8, $U$44*$C290+$V$44,
  $C290&lt;$Q$9, $U$45*$C290+$V$45,
  $C290&lt;$Q$10, $U$46*$C290+$V$46,
  $C290&lt;$Q$11,  $U$47*$C290+$V$47,
  $C290&lt;$Q$12, $U$48*$C290+$V$48,
  $U$49*$C290+$V$49
)</f>
        <v>2</v>
      </c>
      <c r="T290">
        <f t="shared" si="21"/>
        <v>0</v>
      </c>
      <c r="U290">
        <f t="shared" si="22"/>
        <v>0</v>
      </c>
      <c r="V290">
        <f t="shared" si="23"/>
        <v>1</v>
      </c>
      <c r="W290">
        <f t="shared" si="24"/>
        <v>0</v>
      </c>
      <c r="X290">
        <f t="shared" si="25"/>
        <v>0</v>
      </c>
      <c r="Y290">
        <f t="shared" si="26"/>
        <v>6</v>
      </c>
      <c r="Z290">
        <v>12.211761994386201</v>
      </c>
      <c r="AA290">
        <v>0.98743047088842306</v>
      </c>
      <c r="AB290">
        <v>12.390967969918314</v>
      </c>
      <c r="AC290" s="129">
        <v>1.3045704965141407</v>
      </c>
      <c r="AD290" s="244" cm="1">
        <f t="array" ref="AD290">_xlfn.SWITCH(TRUE,
  $C290&lt;$Q$5,  $S$61*$C290+$T$61,
  $C290&lt;$Q$6,  $S$62*$C290+$T$62,
  $C290&lt;$Q$7,  $S$63*$C290+$T$63,
  $C290&lt;$Q$8, $S$64*$C290+$T$64,
  $C290&lt;$Q$9, $S$65*$C290+$T$65,
  $C290&lt;$Q$10, $S$66*$C290+$T$66,
  $C290&lt;$Q$11,  $S$67*$C290+$T$67,
  $C290&lt;$Q$12, $S$68*$C290+$T$68,
  $S$69*$C290+$T$69
)</f>
        <v>0.35000000000000053</v>
      </c>
      <c r="AE290" cm="1">
        <f t="array" ref="AE290">_xlfn.SWITCH(TRUE,
  $C290&lt;$Q$5,  $U$61*$C290+$V$61,
  $C290&lt;$Q$6,  $U$62*$C290+$V$62,
  $C290&lt;$Q$7,  $U$63*$C290+$V$63,
  $C290&lt;$Q$8, $U$64*$C290+$V$64,
  $C290&lt;$Q$9, $U$65*$C290+$V$65,
  $C290&lt;$Q$10, $U$66*$C290+$V$66,
  $C290&lt;$Q$11,  $U$67*$C290+$V$67,
  $C290&lt;$Q$12, $U$68*$C290+$V$68,
  $U$69*$C290+$V$69
)</f>
        <v>2</v>
      </c>
      <c r="AF290" cm="1">
        <f t="array" ref="AF290">_xlfn.LET(
  _xlpm.y,$C290,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90" cm="1">
        <f t="array" ref="AG290">_xlfn.LET(
  _xlpm.y,$C290,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0" cm="1">
        <f t="array" ref="AH290">_xlfn.LET(
  _xlpm.y,$C290,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90" cm="1">
        <f t="array" ref="AI290">_xlfn.LET(
  _xlpm.y,$C290,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0" cm="1">
        <f t="array" ref="AJ290">_xlfn.LET(
  _xlpm.y,$C290,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0">
        <f t="shared" si="27"/>
        <v>6</v>
      </c>
      <c r="AL290">
        <v>11.893780605796513</v>
      </c>
      <c r="AM290">
        <v>0.76155316652362048</v>
      </c>
      <c r="AN290">
        <v>12.395142495160179</v>
      </c>
      <c r="AO290">
        <v>1.2807265640550296</v>
      </c>
    </row>
    <row r="291" spans="2:41">
      <c r="B291">
        <f>'主翼(型紙出力)'!B134</f>
        <v>83</v>
      </c>
      <c r="C291">
        <f>INT(('主翼(型紙出力)'!C134)*1000)/1000</f>
        <v>12.65</v>
      </c>
      <c r="D291">
        <f>'主翼(型紙出力)'!E134</f>
        <v>0.15</v>
      </c>
      <c r="E291">
        <f>'主翼(重量推算)'!CE131</f>
        <v>0.27991428571428578</v>
      </c>
      <c r="F291" s="244" cm="1">
        <f t="array" ref="F291">_xlfn.SWITCH(TRUE,
  $C291&lt;$Q$5,  $S$22*$C291+$T$22,
  $C291&lt;$Q$6,  $S$23*$C291+$T$23,
  $C291&lt;$Q$7,  $S$24*$C291+$T$24,
  $C291&lt;$Q$8, $S$25*$C291+$T$25,
  $C291&lt;$Q$9, $S$26*$C291+$T$26,
  $C291&lt;$Q$10, $S$27*$C291+$T$27,
  $C291&lt;$Q$11,  $S$28*$C291+$T$28,
  $C291&lt;$Q$12, $S$29*$C291+$T$29,
  $S$30*$C291+$T$30
)</f>
        <v>0.30000000000000071</v>
      </c>
      <c r="G291" cm="1">
        <f t="array" ref="G291">_xlfn.SWITCH(TRUE,
  $C291&lt;$Q$5,  $U$22*$C291+$V$22,
  $C291&lt;$Q$6,  $U$23*$C291+$V$23,
  $C291&lt;$Q$7,  $U$24*$C291+$V$24,
  $C291&lt;$Q$8, $U$25*$C291+$V$25,
  $C291&lt;$Q$9, $U$26*$C291+$V$26,
  $C291&lt;$Q$10, $U$27*$C291+$V$27,
  $C291&lt;$Q$11,  $U$28*$C291+$V$28,
  $C291&lt;$Q$12, $U$29*$C291+$V$29,
  $U$30*$C291+$V$30
)</f>
        <v>1.8999999999999986</v>
      </c>
      <c r="H291" cm="1">
        <f t="array" ref="H291">_xlfn.LET(
  _xlpm.y,$C291,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1" cm="1">
        <f t="array" ref="I291">_xlfn.LET(
  _xlpm.y,$C291,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1" cm="1">
        <f t="array" ref="J291">_xlfn.LET(
  _xlpm.y,$C291,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1" cm="1">
        <f t="array" ref="K291">_xlfn.LET(
  _xlpm.y,$C291,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1" cm="1">
        <f t="array" ref="L291">_xlfn.LET(
  _xlpm.y,$C291,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1" cm="1">
        <f t="array" ref="M291">_xlfn.SWITCH(TRUE,
  $C291&lt;$Q$5,  $D$22,
  $C291&lt;$Q$6,  $D$23,
  $C291&lt;$Q$7,  $D$24,
  $C291&lt;$Q$8,  $D$25,
  $C291&lt;$Q$9,  $D$26,
  $C291&lt;$Q$10,  $D$27,
  $C291&lt;$Q$11,  $D$28,
  $C291&lt;$Q$12,  $D$29,
  $C291&lt;$Q$13,  $D$30,
  $C291&lt;100,  $D$31,
)</f>
        <v>6</v>
      </c>
      <c r="N291">
        <v>13.173222628582847</v>
      </c>
      <c r="O291">
        <v>1.1346807673177666</v>
      </c>
      <c r="P291">
        <v>12.520214772332414</v>
      </c>
      <c r="Q291" s="129">
        <v>1.4419166995111388</v>
      </c>
      <c r="R291" s="244" cm="1">
        <f t="array" ref="R291">_xlfn.SWITCH(TRUE,
  $C291&lt;$Q$5,  $S$41*$C291+$T$41,
  $C291&lt;$Q$6,  $S$42*$C291+$T$42,
  $C291&lt;$Q$7,  $S$43*$C291+$T$43,
  $C291&lt;$Q$8, $S$44*$C291+$T$44,
  $C291&lt;$Q$9, $S$45*$C291+$T$45,
  $C291&lt;$Q$10, $S$46*$C291+$T$46,
  $C291&lt;$Q$11,  $S$47*$C291+$T$47,
  $C291&lt;$Q$12, $S$48*$C291+$T$48,
  $S$49*$C291+$T$49
)</f>
        <v>0.30000000000000071</v>
      </c>
      <c r="S291" cm="1">
        <f t="array" ref="S291">_xlfn.SWITCH(TRUE,
  $C291&lt;$Q$5,  $U$41*$C291+$V$41,
  $C291&lt;$Q$6,  $U$42*$C291+$V$42,
  $C291&lt;$Q$7,  $U$43*$C291+$V$43,
  $C291&lt;$Q$8, $U$44*$C291+$V$44,
  $C291&lt;$Q$9, $U$45*$C291+$V$45,
  $C291&lt;$Q$10, $U$46*$C291+$V$46,
  $C291&lt;$Q$11,  $U$47*$C291+$V$47,
  $C291&lt;$Q$12, $U$48*$C291+$V$48,
  $U$49*$C291+$V$49
)</f>
        <v>1.8999999999999986</v>
      </c>
      <c r="T291">
        <f t="shared" si="21"/>
        <v>0</v>
      </c>
      <c r="U291">
        <f t="shared" si="22"/>
        <v>0</v>
      </c>
      <c r="V291">
        <f t="shared" si="23"/>
        <v>1</v>
      </c>
      <c r="W291">
        <f t="shared" si="24"/>
        <v>0</v>
      </c>
      <c r="X291">
        <f t="shared" si="25"/>
        <v>0</v>
      </c>
      <c r="Y291">
        <f t="shared" si="26"/>
        <v>6</v>
      </c>
      <c r="Z291">
        <v>12.214824215737522</v>
      </c>
      <c r="AA291">
        <v>0.87877822622093393</v>
      </c>
      <c r="AB291">
        <v>12.53757384368361</v>
      </c>
      <c r="AC291" s="129">
        <v>1.3362993127150955</v>
      </c>
      <c r="AD291" s="244" cm="1">
        <f t="array" ref="AD291">_xlfn.SWITCH(TRUE,
  $C291&lt;$Q$5,  $S$61*$C291+$T$61,
  $C291&lt;$Q$6,  $S$62*$C291+$T$62,
  $C291&lt;$Q$7,  $S$63*$C291+$T$63,
  $C291&lt;$Q$8, $S$64*$C291+$T$64,
  $C291&lt;$Q$9, $S$65*$C291+$T$65,
  $C291&lt;$Q$10, $S$66*$C291+$T$66,
  $C291&lt;$Q$11,  $S$67*$C291+$T$67,
  $C291&lt;$Q$12, $S$68*$C291+$T$68,
  $S$69*$C291+$T$69
)</f>
        <v>0.30000000000000071</v>
      </c>
      <c r="AE291" cm="1">
        <f t="array" ref="AE291">_xlfn.SWITCH(TRUE,
  $C291&lt;$Q$5,  $U$61*$C291+$V$61,
  $C291&lt;$Q$6,  $U$62*$C291+$V$62,
  $C291&lt;$Q$7,  $U$63*$C291+$V$63,
  $C291&lt;$Q$8, $U$64*$C291+$V$64,
  $C291&lt;$Q$9, $U$65*$C291+$V$65,
  $C291&lt;$Q$10, $U$66*$C291+$V$66,
  $C291&lt;$Q$11,  $U$67*$C291+$V$67,
  $C291&lt;$Q$12, $U$68*$C291+$V$68,
  $U$69*$C291+$V$69
)</f>
        <v>1.8999999999999986</v>
      </c>
      <c r="AF291" cm="1">
        <f t="array" ref="AF291">_xlfn.LET(
  _xlpm.y,$C291,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91" cm="1">
        <f t="array" ref="AG291">_xlfn.LET(
  _xlpm.y,$C291,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1" cm="1">
        <f t="array" ref="AH291">_xlfn.LET(
  _xlpm.y,$C291,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91" cm="1">
        <f t="array" ref="AI291">_xlfn.LET(
  _xlpm.y,$C291,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1" cm="1">
        <f t="array" ref="AJ291">_xlfn.LET(
  _xlpm.y,$C291,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1">
        <f t="shared" si="27"/>
        <v>6</v>
      </c>
      <c r="AL291">
        <v>11.896279607605448</v>
      </c>
      <c r="AM291">
        <v>0.66946662041333349</v>
      </c>
      <c r="AN291">
        <v>12.541922199546537</v>
      </c>
      <c r="AO291">
        <v>1.3116412592703046</v>
      </c>
    </row>
    <row r="292" spans="2:41">
      <c r="B292">
        <f>'主翼(型紙出力)'!B135</f>
        <v>84</v>
      </c>
      <c r="C292">
        <f>INT(('主翼(型紙出力)'!C135)*1000)/1000</f>
        <v>12.8</v>
      </c>
      <c r="D292">
        <f>'主翼(型紙出力)'!E135</f>
        <v>0.15</v>
      </c>
      <c r="E292">
        <f>'主翼(重量推算)'!CE132</f>
        <v>0.27991428571428578</v>
      </c>
      <c r="F292" s="244" cm="1">
        <f t="array" ref="F292">_xlfn.SWITCH(TRUE,
  $C292&lt;$Q$5,  $S$22*$C292+$T$22,
  $C292&lt;$Q$6,  $S$23*$C292+$T$23,
  $C292&lt;$Q$7,  $S$24*$C292+$T$24,
  $C292&lt;$Q$8, $S$25*$C292+$T$25,
  $C292&lt;$Q$9, $S$26*$C292+$T$26,
  $C292&lt;$Q$10, $S$27*$C292+$T$27,
  $C292&lt;$Q$11,  $S$28*$C292+$T$28,
  $C292&lt;$Q$12, $S$29*$C292+$T$29,
  $S$30*$C292+$T$30
)</f>
        <v>0.25</v>
      </c>
      <c r="G292" cm="1">
        <f t="array" ref="G292">_xlfn.SWITCH(TRUE,
  $C292&lt;$Q$5,  $U$22*$C292+$V$22,
  $C292&lt;$Q$6,  $U$23*$C292+$V$23,
  $C292&lt;$Q$7,  $U$24*$C292+$V$24,
  $C292&lt;$Q$8, $U$25*$C292+$V$25,
  $C292&lt;$Q$9, $U$26*$C292+$V$26,
  $C292&lt;$Q$10, $U$27*$C292+$V$27,
  $C292&lt;$Q$11,  $U$28*$C292+$V$28,
  $C292&lt;$Q$12, $U$29*$C292+$V$29,
  $U$30*$C292+$V$30
)</f>
        <v>1.7999999999999989</v>
      </c>
      <c r="H292" cm="1">
        <f t="array" ref="H292">_xlfn.LET(
  _xlpm.y,$C292,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2" cm="1">
        <f t="array" ref="I292">_xlfn.LET(
  _xlpm.y,$C292,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2" cm="1">
        <f t="array" ref="J292">_xlfn.LET(
  _xlpm.y,$C292,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2" cm="1">
        <f t="array" ref="K292">_xlfn.LET(
  _xlpm.y,$C292,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2" cm="1">
        <f t="array" ref="L292">_xlfn.LET(
  _xlpm.y,$C292,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2" cm="1">
        <f t="array" ref="M292">_xlfn.SWITCH(TRUE,
  $C292&lt;$Q$5,  $D$22,
  $C292&lt;$Q$6,  $D$23,
  $C292&lt;$Q$7,  $D$24,
  $C292&lt;$Q$8,  $D$25,
  $C292&lt;$Q$9,  $D$26,
  $C292&lt;$Q$10,  $D$27,
  $C292&lt;$Q$11,  $D$28,
  $C292&lt;$Q$12,  $D$29,
  $C292&lt;$Q$13,  $D$30,
  $C292&lt;100,  $D$31,
)</f>
        <v>6</v>
      </c>
      <c r="N292">
        <v>16.175158766570522</v>
      </c>
      <c r="O292">
        <v>0.94486657543303443</v>
      </c>
      <c r="P292">
        <v>12.666267599893965</v>
      </c>
      <c r="Q292" s="129">
        <v>1.4761010754930934</v>
      </c>
      <c r="R292" s="244" cm="1">
        <f t="array" ref="R292">_xlfn.SWITCH(TRUE,
  $C292&lt;$Q$5,  $S$41*$C292+$T$41,
  $C292&lt;$Q$6,  $S$42*$C292+$T$42,
  $C292&lt;$Q$7,  $S$43*$C292+$T$43,
  $C292&lt;$Q$8, $S$44*$C292+$T$44,
  $C292&lt;$Q$9, $S$45*$C292+$T$45,
  $C292&lt;$Q$10, $S$46*$C292+$T$46,
  $C292&lt;$Q$11,  $S$47*$C292+$T$47,
  $C292&lt;$Q$12, $S$48*$C292+$T$48,
  $S$49*$C292+$T$49
)</f>
        <v>0.25</v>
      </c>
      <c r="S292" cm="1">
        <f t="array" ref="S292">_xlfn.SWITCH(TRUE,
  $C292&lt;$Q$5,  $U$41*$C292+$V$41,
  $C292&lt;$Q$6,  $U$42*$C292+$V$42,
  $C292&lt;$Q$7,  $U$43*$C292+$V$43,
  $C292&lt;$Q$8, $U$44*$C292+$V$44,
  $C292&lt;$Q$9, $U$45*$C292+$V$45,
  $C292&lt;$Q$10, $U$46*$C292+$V$46,
  $C292&lt;$Q$11,  $U$47*$C292+$V$47,
  $C292&lt;$Q$12, $U$48*$C292+$V$48,
  $U$49*$C292+$V$49
)</f>
        <v>1.7999999999999989</v>
      </c>
      <c r="T292">
        <f t="shared" si="21"/>
        <v>0</v>
      </c>
      <c r="U292">
        <f t="shared" si="22"/>
        <v>0</v>
      </c>
      <c r="V292">
        <f t="shared" si="23"/>
        <v>1</v>
      </c>
      <c r="W292">
        <f t="shared" si="24"/>
        <v>0</v>
      </c>
      <c r="X292">
        <f t="shared" si="25"/>
        <v>0</v>
      </c>
      <c r="Y292">
        <f t="shared" si="26"/>
        <v>6</v>
      </c>
      <c r="Z292">
        <v>15.216246862318133</v>
      </c>
      <c r="AA292">
        <v>0.7683662665380141</v>
      </c>
      <c r="AB292">
        <v>12.684178021466128</v>
      </c>
      <c r="AC292" s="129">
        <v>1.3680359643455366</v>
      </c>
      <c r="AD292" s="244" cm="1">
        <f t="array" ref="AD292">_xlfn.SWITCH(TRUE,
  $C292&lt;$Q$5,  $S$61*$C292+$T$61,
  $C292&lt;$Q$6,  $S$62*$C292+$T$62,
  $C292&lt;$Q$7,  $S$63*$C292+$T$63,
  $C292&lt;$Q$8, $S$64*$C292+$T$64,
  $C292&lt;$Q$9, $S$65*$C292+$T$65,
  $C292&lt;$Q$10, $S$66*$C292+$T$66,
  $C292&lt;$Q$11,  $S$67*$C292+$T$67,
  $C292&lt;$Q$12, $S$68*$C292+$T$68,
  $S$69*$C292+$T$69
)</f>
        <v>0.25</v>
      </c>
      <c r="AE292" cm="1">
        <f t="array" ref="AE292">_xlfn.SWITCH(TRUE,
  $C292&lt;$Q$5,  $U$61*$C292+$V$61,
  $C292&lt;$Q$6,  $U$62*$C292+$V$62,
  $C292&lt;$Q$7,  $U$63*$C292+$V$63,
  $C292&lt;$Q$8, $U$64*$C292+$V$64,
  $C292&lt;$Q$9, $U$65*$C292+$V$65,
  $C292&lt;$Q$10, $U$66*$C292+$V$66,
  $C292&lt;$Q$11,  $U$67*$C292+$V$67,
  $C292&lt;$Q$12, $U$68*$C292+$V$68,
  $U$69*$C292+$V$69
)</f>
        <v>1.7999999999999989</v>
      </c>
      <c r="AF292" cm="1">
        <f t="array" ref="AF292">_xlfn.LET(
  _xlpm.y,$C292,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92" cm="1">
        <f t="array" ref="AG292">_xlfn.LET(
  _xlpm.y,$C292,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2" cm="1">
        <f t="array" ref="AH292">_xlfn.LET(
  _xlpm.y,$C292,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92" cm="1">
        <f t="array" ref="AI292">_xlfn.LET(
  _xlpm.y,$C292,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2" cm="1">
        <f t="array" ref="AJ292">_xlfn.LET(
  _xlpm.y,$C292,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2">
        <f t="shared" si="27"/>
        <v>6</v>
      </c>
      <c r="AL292">
        <v>14.897431191193618</v>
      </c>
      <c r="AM292">
        <v>0.57919836862990992</v>
      </c>
      <c r="AN292">
        <v>12.688700555423823</v>
      </c>
      <c r="AO292">
        <v>1.342562356371809</v>
      </c>
    </row>
    <row r="293" spans="2:41">
      <c r="B293">
        <f>'主翼(型紙出力)'!B136</f>
        <v>85</v>
      </c>
      <c r="C293">
        <f>INT(('主翼(型紙出力)'!C136)*1000)/1000</f>
        <v>12.95</v>
      </c>
      <c r="D293">
        <f>'主翼(型紙出力)'!E136</f>
        <v>0.15</v>
      </c>
      <c r="E293">
        <f>'主翼(重量推算)'!CE133</f>
        <v>0.27991428571428578</v>
      </c>
      <c r="F293" s="244" cm="1">
        <f t="array" ref="F293">_xlfn.SWITCH(TRUE,
  $C293&lt;$Q$5,  $S$22*$C293+$T$22,
  $C293&lt;$Q$6,  $S$23*$C293+$T$23,
  $C293&lt;$Q$7,  $S$24*$C293+$T$24,
  $C293&lt;$Q$8, $S$25*$C293+$T$25,
  $C293&lt;$Q$9, $S$26*$C293+$T$26,
  $C293&lt;$Q$10, $S$27*$C293+$T$27,
  $C293&lt;$Q$11,  $S$28*$C293+$T$28,
  $C293&lt;$Q$12, $S$29*$C293+$T$29,
  $S$30*$C293+$T$30
)</f>
        <v>0.19999999999999973</v>
      </c>
      <c r="G293" cm="1">
        <f t="array" ref="G293">_xlfn.SWITCH(TRUE,
  $C293&lt;$Q$5,  $U$22*$C293+$V$22,
  $C293&lt;$Q$6,  $U$23*$C293+$V$23,
  $C293&lt;$Q$7,  $U$24*$C293+$V$24,
  $C293&lt;$Q$8, $U$25*$C293+$V$25,
  $C293&lt;$Q$9, $U$26*$C293+$V$26,
  $C293&lt;$Q$10, $U$27*$C293+$V$27,
  $C293&lt;$Q$11,  $U$28*$C293+$V$28,
  $C293&lt;$Q$12, $U$29*$C293+$V$29,
  $U$30*$C293+$V$30
)</f>
        <v>1.7</v>
      </c>
      <c r="H293" cm="1">
        <f t="array" ref="H293">_xlfn.LET(
  _xlpm.y,$C293,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3" cm="1">
        <f t="array" ref="I293">_xlfn.LET(
  _xlpm.y,$C293,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3" cm="1">
        <f t="array" ref="J293">_xlfn.LET(
  _xlpm.y,$C293,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3" cm="1">
        <f t="array" ref="K293">_xlfn.LET(
  _xlpm.y,$C293,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3" cm="1">
        <f t="array" ref="L293">_xlfn.LET(
  _xlpm.y,$C293,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3" cm="1">
        <f t="array" ref="M293">_xlfn.SWITCH(TRUE,
  $C293&lt;$Q$5,  $D$22,
  $C293&lt;$Q$6,  $D$23,
  $C293&lt;$Q$7,  $D$24,
  $C293&lt;$Q$8,  $D$25,
  $C293&lt;$Q$9,  $D$26,
  $C293&lt;$Q$10,  $D$27,
  $C293&lt;$Q$11,  $D$28,
  $C293&lt;$Q$12,  $D$29,
  $C293&lt;$Q$13,  $D$30,
  $C293&lt;100,  $D$31,
)</f>
        <v>12</v>
      </c>
      <c r="N293">
        <v>19.175885143205264</v>
      </c>
      <c r="O293">
        <v>0.74516353432589066</v>
      </c>
      <c r="P293">
        <v>12.810329783169131</v>
      </c>
      <c r="Q293" s="129">
        <v>1.5178872855389036</v>
      </c>
      <c r="R293" s="244" cm="1">
        <f t="array" ref="R293">_xlfn.SWITCH(TRUE,
  $C293&lt;$Q$5,  $S$41*$C293+$T$41,
  $C293&lt;$Q$6,  $S$42*$C293+$T$42,
  $C293&lt;$Q$7,  $S$43*$C293+$T$43,
  $C293&lt;$Q$8, $S$44*$C293+$T$44,
  $C293&lt;$Q$9, $S$45*$C293+$T$45,
  $C293&lt;$Q$10, $S$46*$C293+$T$46,
  $C293&lt;$Q$11,  $S$47*$C293+$T$47,
  $C293&lt;$Q$12, $S$48*$C293+$T$48,
  $S$49*$C293+$T$49
)</f>
        <v>0.19999999999999973</v>
      </c>
      <c r="S293" cm="1">
        <f t="array" ref="S293">_xlfn.SWITCH(TRUE,
  $C293&lt;$Q$5,  $U$41*$C293+$V$41,
  $C293&lt;$Q$6,  $U$42*$C293+$V$42,
  $C293&lt;$Q$7,  $U$43*$C293+$V$43,
  $C293&lt;$Q$8, $U$44*$C293+$V$44,
  $C293&lt;$Q$9, $U$45*$C293+$V$45,
  $C293&lt;$Q$10, $U$46*$C293+$V$46,
  $C293&lt;$Q$11,  $U$47*$C293+$V$47,
  $C293&lt;$Q$12, $U$48*$C293+$V$48,
  $U$49*$C293+$V$49
)</f>
        <v>1.7</v>
      </c>
      <c r="T293">
        <f t="shared" si="21"/>
        <v>0</v>
      </c>
      <c r="U293">
        <f t="shared" si="22"/>
        <v>0</v>
      </c>
      <c r="V293">
        <f t="shared" si="23"/>
        <v>1</v>
      </c>
      <c r="W293">
        <f t="shared" si="24"/>
        <v>0</v>
      </c>
      <c r="X293">
        <f t="shared" si="25"/>
        <v>0</v>
      </c>
      <c r="Y293">
        <f t="shared" si="26"/>
        <v>12</v>
      </c>
      <c r="Z293">
        <v>18.2167350483207</v>
      </c>
      <c r="AA293">
        <v>0.65704522464746506</v>
      </c>
      <c r="AB293">
        <v>12.828919337814256</v>
      </c>
      <c r="AC293" s="129">
        <v>1.4074053857511297</v>
      </c>
      <c r="AD293" s="244" cm="1">
        <f t="array" ref="AD293">_xlfn.SWITCH(TRUE,
  $C293&lt;$Q$5,  $S$61*$C293+$T$61,
  $C293&lt;$Q$6,  $S$62*$C293+$T$62,
  $C293&lt;$Q$7,  $S$63*$C293+$T$63,
  $C293&lt;$Q$8, $S$64*$C293+$T$64,
  $C293&lt;$Q$9, $S$65*$C293+$T$65,
  $C293&lt;$Q$10, $S$66*$C293+$T$66,
  $C293&lt;$Q$11,  $S$67*$C293+$T$67,
  $C293&lt;$Q$12, $S$68*$C293+$T$68,
  $S$69*$C293+$T$69
)</f>
        <v>0.19999999999999973</v>
      </c>
      <c r="AE293" cm="1">
        <f t="array" ref="AE293">_xlfn.SWITCH(TRUE,
  $C293&lt;$Q$5,  $U$61*$C293+$V$61,
  $C293&lt;$Q$6,  $U$62*$C293+$V$62,
  $C293&lt;$Q$7,  $U$63*$C293+$V$63,
  $C293&lt;$Q$8, $U$64*$C293+$V$64,
  $C293&lt;$Q$9, $U$65*$C293+$V$65,
  $C293&lt;$Q$10, $U$66*$C293+$V$66,
  $C293&lt;$Q$11,  $U$67*$C293+$V$67,
  $C293&lt;$Q$12, $U$68*$C293+$V$68,
  $U$69*$C293+$V$69
)</f>
        <v>1.7</v>
      </c>
      <c r="AF293" cm="1">
        <f t="array" ref="AF293">_xlfn.LET(
  _xlpm.y,$C293,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93" cm="1">
        <f t="array" ref="AG293">_xlfn.LET(
  _xlpm.y,$C293,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3" cm="1">
        <f t="array" ref="AH293">_xlfn.LET(
  _xlpm.y,$C293,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93" cm="1">
        <f t="array" ref="AI293">_xlfn.LET(
  _xlpm.y,$C293,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3" cm="1">
        <f t="array" ref="AJ293">_xlfn.LET(
  _xlpm.y,$C293,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3">
        <f t="shared" si="27"/>
        <v>12</v>
      </c>
      <c r="AL293">
        <v>17.897823632448606</v>
      </c>
      <c r="AM293">
        <v>0.49170053439862771</v>
      </c>
      <c r="AN293">
        <v>12.833658696426696</v>
      </c>
      <c r="AO293">
        <v>1.3811257763056159</v>
      </c>
    </row>
    <row r="294" spans="2:41">
      <c r="B294">
        <f>'主翼(型紙出力)'!B137</f>
        <v>86</v>
      </c>
      <c r="C294">
        <f>INT(('主翼(型紙出力)'!C137)*1000)/1000</f>
        <v>13.1</v>
      </c>
      <c r="D294">
        <f>'主翼(型紙出力)'!E137</f>
        <v>0.15</v>
      </c>
      <c r="E294">
        <f>'主翼(重量推算)'!CE134</f>
        <v>0.27991428571428578</v>
      </c>
      <c r="F294" s="244" cm="1">
        <f t="array" ref="F294">_xlfn.SWITCH(TRUE,
  $C294&lt;$Q$5,  $S$22*$C294+$T$22,
  $C294&lt;$Q$6,  $S$23*$C294+$T$23,
  $C294&lt;$Q$7,  $S$24*$C294+$T$24,
  $C294&lt;$Q$8, $S$25*$C294+$T$25,
  $C294&lt;$Q$9, $S$26*$C294+$T$26,
  $C294&lt;$Q$10, $S$27*$C294+$T$27,
  $C294&lt;$Q$11,  $S$28*$C294+$T$28,
  $C294&lt;$Q$12, $S$29*$C294+$T$29,
  $S$30*$C294+$T$30
)</f>
        <v>0.17499999999999982</v>
      </c>
      <c r="G294" cm="1">
        <f t="array" ref="G294">_xlfn.SWITCH(TRUE,
  $C294&lt;$Q$5,  $U$22*$C294+$V$22,
  $C294&lt;$Q$6,  $U$23*$C294+$V$23,
  $C294&lt;$Q$7,  $U$24*$C294+$V$24,
  $C294&lt;$Q$8, $U$25*$C294+$V$25,
  $C294&lt;$Q$9, $U$26*$C294+$V$26,
  $C294&lt;$Q$10, $U$27*$C294+$V$27,
  $C294&lt;$Q$11,  $U$28*$C294+$V$28,
  $C294&lt;$Q$12, $U$29*$C294+$V$29,
  $U$30*$C294+$V$30
)</f>
        <v>1.7</v>
      </c>
      <c r="H294" cm="1">
        <f t="array" ref="H294">_xlfn.LET(
  _xlpm.y,$C294,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4" cm="1">
        <f t="array" ref="I294">_xlfn.LET(
  _xlpm.y,$C294,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4" cm="1">
        <f t="array" ref="J294">_xlfn.LET(
  _xlpm.y,$C294,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4" cm="1">
        <f t="array" ref="K294">_xlfn.LET(
  _xlpm.y,$C294,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4" cm="1">
        <f t="array" ref="L294">_xlfn.LET(
  _xlpm.y,$C294,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4" cm="1">
        <f t="array" ref="M294">_xlfn.SWITCH(TRUE,
  $C294&lt;$Q$5,  $D$22,
  $C294&lt;$Q$6,  $D$23,
  $C294&lt;$Q$7,  $D$24,
  $C294&lt;$Q$8,  $D$25,
  $C294&lt;$Q$9,  $D$26,
  $C294&lt;$Q$10,  $D$27,
  $C294&lt;$Q$11,  $D$28,
  $C294&lt;$Q$12,  $D$29,
  $C294&lt;$Q$13,  $D$30,
  $C294&lt;100,  $D$31,
)</f>
        <v>12</v>
      </c>
      <c r="N294">
        <v>19.176358367308499</v>
      </c>
      <c r="O294">
        <v>0.53373610153526019</v>
      </c>
      <c r="P294">
        <v>12.952006988346595</v>
      </c>
      <c r="Q294" s="129">
        <v>1.5671576572962069</v>
      </c>
      <c r="R294" s="244" cm="1">
        <f t="array" ref="R294">_xlfn.SWITCH(TRUE,
  $C294&lt;$Q$5,  $S$41*$C294+$T$41,
  $C294&lt;$Q$6,  $S$42*$C294+$T$42,
  $C294&lt;$Q$7,  $S$43*$C294+$T$43,
  $C294&lt;$Q$8, $S$44*$C294+$T$44,
  $C294&lt;$Q$9, $S$45*$C294+$T$45,
  $C294&lt;$Q$10, $S$46*$C294+$T$46,
  $C294&lt;$Q$11,  $S$47*$C294+$T$47,
  $C294&lt;$Q$12, $S$48*$C294+$T$48,
  $S$49*$C294+$T$49
)</f>
        <v>0.17499999999999982</v>
      </c>
      <c r="S294" cm="1">
        <f t="array" ref="S294">_xlfn.SWITCH(TRUE,
  $C294&lt;$Q$5,  $U$41*$C294+$V$41,
  $C294&lt;$Q$6,  $U$42*$C294+$V$42,
  $C294&lt;$Q$7,  $U$43*$C294+$V$43,
  $C294&lt;$Q$8, $U$44*$C294+$V$44,
  $C294&lt;$Q$9, $U$45*$C294+$V$45,
  $C294&lt;$Q$10, $U$46*$C294+$V$46,
  $C294&lt;$Q$11,  $U$47*$C294+$V$47,
  $C294&lt;$Q$12, $U$48*$C294+$V$48,
  $U$49*$C294+$V$49
)</f>
        <v>1.7</v>
      </c>
      <c r="T294">
        <f t="shared" si="21"/>
        <v>0</v>
      </c>
      <c r="U294">
        <f t="shared" si="22"/>
        <v>0</v>
      </c>
      <c r="V294">
        <f t="shared" si="23"/>
        <v>1</v>
      </c>
      <c r="W294">
        <f t="shared" si="24"/>
        <v>0</v>
      </c>
      <c r="X294">
        <f t="shared" si="25"/>
        <v>0</v>
      </c>
      <c r="Y294">
        <f t="shared" si="26"/>
        <v>12</v>
      </c>
      <c r="Z294">
        <v>18.217022704905688</v>
      </c>
      <c r="AA294">
        <v>0.54409621583413148</v>
      </c>
      <c r="AB294">
        <v>12.971401455368069</v>
      </c>
      <c r="AC294" s="129">
        <v>1.4542972419457989</v>
      </c>
      <c r="AD294" s="244" cm="1">
        <f t="array" ref="AD294">_xlfn.SWITCH(TRUE,
  $C294&lt;$Q$5,  $S$61*$C294+$T$61,
  $C294&lt;$Q$6,  $S$62*$C294+$T$62,
  $C294&lt;$Q$7,  $S$63*$C294+$T$63,
  $C294&lt;$Q$8, $S$64*$C294+$T$64,
  $C294&lt;$Q$9, $S$65*$C294+$T$65,
  $C294&lt;$Q$10, $S$66*$C294+$T$66,
  $C294&lt;$Q$11,  $S$67*$C294+$T$67,
  $C294&lt;$Q$12, $S$68*$C294+$T$68,
  $S$69*$C294+$T$69
)</f>
        <v>0.17499999999999982</v>
      </c>
      <c r="AE294" cm="1">
        <f t="array" ref="AE294">_xlfn.SWITCH(TRUE,
  $C294&lt;$Q$5,  $U$61*$C294+$V$61,
  $C294&lt;$Q$6,  $U$62*$C294+$V$62,
  $C294&lt;$Q$7,  $U$63*$C294+$V$63,
  $C294&lt;$Q$8, $U$64*$C294+$V$64,
  $C294&lt;$Q$9, $U$65*$C294+$V$65,
  $C294&lt;$Q$10, $U$66*$C294+$V$66,
  $C294&lt;$Q$11,  $U$67*$C294+$V$67,
  $C294&lt;$Q$12, $U$68*$C294+$V$68,
  $U$69*$C294+$V$69
)</f>
        <v>1.7</v>
      </c>
      <c r="AF294" cm="1">
        <f t="array" ref="AF294">_xlfn.LET(
  _xlpm.y,$C294,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94" cm="1">
        <f t="array" ref="AG294">_xlfn.LET(
  _xlpm.y,$C294,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4" cm="1">
        <f t="array" ref="AH294">_xlfn.LET(
  _xlpm.y,$C294,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94" cm="1">
        <f t="array" ref="AI294">_xlfn.LET(
  _xlpm.y,$C294,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4" cm="1">
        <f t="array" ref="AJ294">_xlfn.LET(
  _xlpm.y,$C294,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4">
        <f t="shared" si="27"/>
        <v>12</v>
      </c>
      <c r="AL294">
        <v>17.898053499997904</v>
      </c>
      <c r="AM294">
        <v>0.40668446394162433</v>
      </c>
      <c r="AN294">
        <v>12.976399608136639</v>
      </c>
      <c r="AO294">
        <v>1.4272238470267868</v>
      </c>
    </row>
    <row r="295" spans="2:41">
      <c r="B295">
        <f>'主翼(型紙出力)'!B138</f>
        <v>87</v>
      </c>
      <c r="C295">
        <f>INT(('主翼(型紙出力)'!C138)*1000)/1000</f>
        <v>13.25</v>
      </c>
      <c r="D295">
        <f>'主翼(型紙出力)'!E138</f>
        <v>0</v>
      </c>
      <c r="E295">
        <f>'主翼(重量推算)'!CE135</f>
        <v>0.27991428571428578</v>
      </c>
      <c r="F295" s="244" cm="1">
        <f t="array" ref="F295">_xlfn.SWITCH(TRUE,
  $C295&lt;$Q$5,  $S$22*$C295+$T$22,
  $C295&lt;$Q$6,  $S$23*$C295+$T$23,
  $C295&lt;$Q$7,  $S$24*$C295+$T$24,
  $C295&lt;$Q$8, $S$25*$C295+$T$25,
  $C295&lt;$Q$9, $S$26*$C295+$T$26,
  $C295&lt;$Q$10, $S$27*$C295+$T$27,
  $C295&lt;$Q$11,  $S$28*$C295+$T$28,
  $C295&lt;$Q$12, $S$29*$C295+$T$29,
  $S$30*$C295+$T$30
)</f>
        <v>0.14999999999999991</v>
      </c>
      <c r="G295" cm="1">
        <f t="array" ref="G295">_xlfn.SWITCH(TRUE,
  $C295&lt;$Q$5,  $U$22*$C295+$V$22,
  $C295&lt;$Q$6,  $U$23*$C295+$V$23,
  $C295&lt;$Q$7,  $U$24*$C295+$V$24,
  $C295&lt;$Q$8, $U$25*$C295+$V$25,
  $C295&lt;$Q$9, $U$26*$C295+$V$26,
  $C295&lt;$Q$10, $U$27*$C295+$V$27,
  $C295&lt;$Q$11,  $U$28*$C295+$V$28,
  $C295&lt;$Q$12, $U$29*$C295+$V$29,
  $U$30*$C295+$V$30
)</f>
        <v>1.7</v>
      </c>
      <c r="H295" cm="1">
        <f t="array" ref="H295">_xlfn.LET(
  _xlpm.y,$C295,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5" cm="1">
        <f t="array" ref="I295">_xlfn.LET(
  _xlpm.y,$C295,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5" cm="1">
        <f t="array" ref="J295">_xlfn.LET(
  _xlpm.y,$C295,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5" cm="1">
        <f t="array" ref="K295">_xlfn.LET(
  _xlpm.y,$C295,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5" cm="1">
        <f t="array" ref="L295">_xlfn.LET(
  _xlpm.y,$C295,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5" cm="1">
        <f t="array" ref="M295">_xlfn.SWITCH(TRUE,
  $C295&lt;$Q$5,  $D$22,
  $C295&lt;$Q$6,  $D$23,
  $C295&lt;$Q$7,  $D$24,
  $C295&lt;$Q$8,  $D$25,
  $C295&lt;$Q$9,  $D$26,
  $C295&lt;$Q$10,  $D$27,
  $C295&lt;$Q$11,  $D$28,
  $C295&lt;$Q$12,  $D$29,
  $C295&lt;$Q$13,  $D$30,
  $C295&lt;100,  $D$31,
)</f>
        <v>12</v>
      </c>
      <c r="N295">
        <v>12.606746024458282</v>
      </c>
      <c r="P295">
        <v>13.093683786579524</v>
      </c>
      <c r="Q295" s="129">
        <v>1.6164291992090198</v>
      </c>
      <c r="R295" s="244" cm="1">
        <f t="array" ref="R295">_xlfn.SWITCH(TRUE,
  $C295&lt;$Q$5,  $S$41*$C295+$T$41,
  $C295&lt;$Q$6,  $S$42*$C295+$T$42,
  $C295&lt;$Q$7,  $S$43*$C295+$T$43,
  $C295&lt;$Q$8, $S$44*$C295+$T$44,
  $C295&lt;$Q$9, $S$45*$C295+$T$45,
  $C295&lt;$Q$10, $S$46*$C295+$T$46,
  $C295&lt;$Q$11,  $S$47*$C295+$T$47,
  $C295&lt;$Q$12, $S$48*$C295+$T$48,
  $S$49*$C295+$T$49
)</f>
        <v>0.14999999999999991</v>
      </c>
      <c r="S295" cm="1">
        <f t="array" ref="S295">_xlfn.SWITCH(TRUE,
  $C295&lt;$Q$5,  $U$41*$C295+$V$41,
  $C295&lt;$Q$6,  $U$42*$C295+$V$42,
  $C295&lt;$Q$7,  $U$43*$C295+$V$43,
  $C295&lt;$Q$8, $U$44*$C295+$V$44,
  $C295&lt;$Q$9, $U$45*$C295+$V$45,
  $C295&lt;$Q$10, $U$46*$C295+$V$46,
  $C295&lt;$Q$11,  $U$47*$C295+$V$47,
  $C295&lt;$Q$12, $U$48*$C295+$V$48,
  $U$49*$C295+$V$49
)</f>
        <v>1.7</v>
      </c>
      <c r="T295">
        <f t="shared" si="21"/>
        <v>0</v>
      </c>
      <c r="U295">
        <f t="shared" si="22"/>
        <v>0</v>
      </c>
      <c r="V295">
        <f t="shared" si="23"/>
        <v>1</v>
      </c>
      <c r="W295">
        <f t="shared" si="24"/>
        <v>0</v>
      </c>
      <c r="X295">
        <f t="shared" si="25"/>
        <v>0</v>
      </c>
      <c r="Y295">
        <f t="shared" si="26"/>
        <v>12</v>
      </c>
      <c r="Z295">
        <v>6.470437859775767E-2</v>
      </c>
      <c r="AA295">
        <v>0</v>
      </c>
      <c r="AB295">
        <v>13.113883337496965</v>
      </c>
      <c r="AC295" s="129">
        <v>1.5011898134791168</v>
      </c>
      <c r="AD295" s="244" cm="1">
        <f t="array" ref="AD295">_xlfn.SWITCH(TRUE,
  $C295&lt;$Q$5,  $S$61*$C295+$T$61,
  $C295&lt;$Q$6,  $S$62*$C295+$T$62,
  $C295&lt;$Q$7,  $S$63*$C295+$T$63,
  $C295&lt;$Q$8, $S$64*$C295+$T$64,
  $C295&lt;$Q$9, $S$65*$C295+$T$65,
  $C295&lt;$Q$10, $S$66*$C295+$T$66,
  $C295&lt;$Q$11,  $S$67*$C295+$T$67,
  $C295&lt;$Q$12, $S$68*$C295+$T$68,
  $S$69*$C295+$T$69
)</f>
        <v>0.14999999999999991</v>
      </c>
      <c r="AE295" cm="1">
        <f t="array" ref="AE295">_xlfn.SWITCH(TRUE,
  $C295&lt;$Q$5,  $U$61*$C295+$V$61,
  $C295&lt;$Q$6,  $U$62*$C295+$V$62,
  $C295&lt;$Q$7,  $U$63*$C295+$V$63,
  $C295&lt;$Q$8, $U$64*$C295+$V$64,
  $C295&lt;$Q$9, $U$65*$C295+$V$65,
  $C295&lt;$Q$10, $U$66*$C295+$V$66,
  $C295&lt;$Q$11,  $U$67*$C295+$V$67,
  $C295&lt;$Q$12, $U$68*$C295+$V$68,
  $U$69*$C295+$V$69
)</f>
        <v>1.7</v>
      </c>
      <c r="AF295" cm="1">
        <f t="array" ref="AF295">_xlfn.LET(
  _xlpm.y,$C295,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95" cm="1">
        <f t="array" ref="AG295">_xlfn.LET(
  _xlpm.y,$C295,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5" cm="1">
        <f t="array" ref="AH295">_xlfn.LET(
  _xlpm.y,$C295,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95" cm="1">
        <f t="array" ref="AI295">_xlfn.LET(
  _xlpm.y,$C295,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5" cm="1">
        <f t="array" ref="AJ295">_xlfn.LET(
  _xlpm.y,$C295,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5">
        <f t="shared" si="27"/>
        <v>12</v>
      </c>
      <c r="AN295">
        <v>13.119140334902482</v>
      </c>
      <c r="AO295">
        <v>1.4733224904163562</v>
      </c>
    </row>
    <row r="296" spans="2:41">
      <c r="B296">
        <f>'主翼(型紙出力)'!B139</f>
        <v>0</v>
      </c>
      <c r="C296">
        <f>INT(('主翼(型紙出力)'!C139)*1000)/1000</f>
        <v>0</v>
      </c>
      <c r="D296">
        <f>'主翼(型紙出力)'!E139</f>
        <v>0</v>
      </c>
      <c r="E296">
        <f>'主翼(重量推算)'!CE136</f>
        <v>0</v>
      </c>
      <c r="F296" s="244" cm="1">
        <f t="array" ref="F296">_xlfn.SWITCH(TRUE,
  $C296&lt;$Q$5,  $S$22*$C296+$T$22,
  $C296&lt;$Q$6,  $S$23*$C296+$T$23,
  $C296&lt;$Q$7,  $S$24*$C296+$T$24,
  $C296&lt;$Q$8, $S$25*$C296+$T$25,
  $C296&lt;$Q$9, $S$26*$C296+$T$26,
  $C296&lt;$Q$10, $S$27*$C296+$T$27,
  $C296&lt;$Q$11,  $S$28*$C296+$T$28,
  $C296&lt;$Q$12, $S$29*$C296+$T$29,
  $S$30*$C296+$T$30
)</f>
        <v>1.1000000000000001</v>
      </c>
      <c r="G296" cm="1">
        <f t="array" ref="G296">_xlfn.SWITCH(TRUE,
  $C296&lt;$Q$5,  $U$22*$C296+$V$22,
  $C296&lt;$Q$6,  $U$23*$C296+$V$23,
  $C296&lt;$Q$7,  $U$24*$C296+$V$24,
  $C296&lt;$Q$8, $U$25*$C296+$V$25,
  $C296&lt;$Q$9, $U$26*$C296+$V$26,
  $C296&lt;$Q$10, $U$27*$C296+$V$27,
  $C296&lt;$Q$11,  $U$28*$C296+$V$28,
  $C296&lt;$Q$12, $U$29*$C296+$V$29,
  $U$30*$C296+$V$30
)</f>
        <v>3.4</v>
      </c>
      <c r="H296" cm="1">
        <f t="array" ref="H296">_xlfn.LET(
  _xlpm.y,$C296,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6" cm="1">
        <f t="array" ref="I296">_xlfn.LET(
  _xlpm.y,$C296,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6" cm="1">
        <f t="array" ref="J296">_xlfn.LET(
  _xlpm.y,$C296,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6" cm="1">
        <f t="array" ref="K296">_xlfn.LET(
  _xlpm.y,$C296,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6" cm="1">
        <f t="array" ref="L296">_xlfn.LET(
  _xlpm.y,$C296,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6" cm="1">
        <f t="array" ref="M296">_xlfn.SWITCH(TRUE,
  $C296&lt;$Q$5,  $D$22,
  $C296&lt;$Q$6,  $D$23,
  $C296&lt;$Q$7,  $D$24,
  $C296&lt;$Q$8,  $D$25,
  $C296&lt;$Q$9,  $D$26,
  $C296&lt;$Q$10,  $D$27,
  $C296&lt;$Q$11,  $D$28,
  $C296&lt;$Q$12,  $D$29,
  $C296&lt;$Q$13,  $D$30,
  $C296&lt;100,  $D$31,
)</f>
        <v>0</v>
      </c>
      <c r="Q296" s="129"/>
      <c r="R296" s="244" cm="1">
        <f t="array" ref="R296">_xlfn.SWITCH(TRUE,
  $C296&lt;$Q$5,  $S$41*$C296+$T$41,
  $C296&lt;$Q$6,  $S$42*$C296+$T$42,
  $C296&lt;$Q$7,  $S$43*$C296+$T$43,
  $C296&lt;$Q$8, $S$44*$C296+$T$44,
  $C296&lt;$Q$9, $S$45*$C296+$T$45,
  $C296&lt;$Q$10, $S$46*$C296+$T$46,
  $C296&lt;$Q$11,  $S$47*$C296+$T$47,
  $C296&lt;$Q$12, $S$48*$C296+$T$48,
  $S$49*$C296+$T$49
)</f>
        <v>1.1000000000000001</v>
      </c>
      <c r="S296" cm="1">
        <f t="array" ref="S296">_xlfn.SWITCH(TRUE,
  $C296&lt;$Q$5,  $U$41*$C296+$V$41,
  $C296&lt;$Q$6,  $U$42*$C296+$V$42,
  $C296&lt;$Q$7,  $U$43*$C296+$V$43,
  $C296&lt;$Q$8, $U$44*$C296+$V$44,
  $C296&lt;$Q$9, $U$45*$C296+$V$45,
  $C296&lt;$Q$10, $U$46*$C296+$V$46,
  $C296&lt;$Q$11,  $U$47*$C296+$V$47,
  $C296&lt;$Q$12, $U$48*$C296+$V$48,
  $U$49*$C296+$V$49
)</f>
        <v>3.8</v>
      </c>
      <c r="T296">
        <f t="shared" si="21"/>
        <v>1</v>
      </c>
      <c r="U296">
        <f t="shared" si="22"/>
        <v>0</v>
      </c>
      <c r="V296">
        <f t="shared" si="23"/>
        <v>0</v>
      </c>
      <c r="W296">
        <f t="shared" si="24"/>
        <v>0</v>
      </c>
      <c r="X296">
        <f t="shared" si="25"/>
        <v>0</v>
      </c>
      <c r="Y296">
        <f t="shared" si="26"/>
        <v>0</v>
      </c>
      <c r="Z296">
        <v>6.470437859775767E-2</v>
      </c>
      <c r="AA296">
        <v>5.4737782980879093</v>
      </c>
      <c r="AB296">
        <v>0</v>
      </c>
      <c r="AC296" s="129">
        <v>0</v>
      </c>
      <c r="AD296" s="244" cm="1">
        <f t="array" ref="AD296">_xlfn.SWITCH(TRUE,
  $C296&lt;$Q$5,  $S$61*$C296+$T$61,
  $C296&lt;$Q$6,  $S$62*$C296+$T$62,
  $C296&lt;$Q$7,  $S$63*$C296+$T$63,
  $C296&lt;$Q$8, $S$64*$C296+$T$64,
  $C296&lt;$Q$9, $S$65*$C296+$T$65,
  $C296&lt;$Q$10, $S$66*$C296+$T$66,
  $C296&lt;$Q$11,  $S$67*$C296+$T$67,
  $C296&lt;$Q$12, $S$68*$C296+$T$68,
  $S$69*$C296+$T$69
)</f>
        <v>1.1000000000000001</v>
      </c>
      <c r="AE296" cm="1">
        <f t="array" ref="AE296">_xlfn.SWITCH(TRUE,
  $C296&lt;$Q$5,  $U$61*$C296+$V$61,
  $C296&lt;$Q$6,  $U$62*$C296+$V$62,
  $C296&lt;$Q$7,  $U$63*$C296+$V$63,
  $C296&lt;$Q$8, $U$64*$C296+$V$64,
  $C296&lt;$Q$9, $U$65*$C296+$V$65,
  $C296&lt;$Q$10, $U$66*$C296+$V$66,
  $C296&lt;$Q$11,  $U$67*$C296+$V$67,
  $C296&lt;$Q$12, $U$68*$C296+$V$68,
  $U$69*$C296+$V$69
)</f>
        <v>4</v>
      </c>
      <c r="AF296" cm="1">
        <f t="array" ref="AF296">_xlfn.LET(
  _xlpm.y,$C296,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96" cm="1">
        <f t="array" ref="AG296">_xlfn.LET(
  _xlpm.y,$C296,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6" cm="1">
        <f t="array" ref="AH296">_xlfn.LET(
  _xlpm.y,$C296,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96" cm="1">
        <f t="array" ref="AI296">_xlfn.LET(
  _xlpm.y,$C296,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6" cm="1">
        <f t="array" ref="AJ296">_xlfn.LET(
  _xlpm.y,$C296,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6">
        <f t="shared" si="27"/>
        <v>0</v>
      </c>
    </row>
    <row r="297" spans="2:41">
      <c r="B297">
        <f>'主翼(型紙出力)'!B140</f>
        <v>0</v>
      </c>
      <c r="C297">
        <f>INT(('主翼(型紙出力)'!C140)*1000)/1000</f>
        <v>0</v>
      </c>
      <c r="D297">
        <f>'主翼(型紙出力)'!E140</f>
        <v>0</v>
      </c>
      <c r="E297">
        <f>'主翼(重量推算)'!CE137</f>
        <v>0</v>
      </c>
      <c r="F297" s="244" cm="1">
        <f t="array" ref="F297">_xlfn.SWITCH(TRUE,
  $C297&lt;$Q$5,  $S$22*$C297+$T$22,
  $C297&lt;$Q$6,  $S$23*$C297+$T$23,
  $C297&lt;$Q$7,  $S$24*$C297+$T$24,
  $C297&lt;$Q$8, $S$25*$C297+$T$25,
  $C297&lt;$Q$9, $S$26*$C297+$T$26,
  $C297&lt;$Q$10, $S$27*$C297+$T$27,
  $C297&lt;$Q$11,  $S$28*$C297+$T$28,
  $C297&lt;$Q$12, $S$29*$C297+$T$29,
  $S$30*$C297+$T$30
)</f>
        <v>1.1000000000000001</v>
      </c>
      <c r="G297" cm="1">
        <f t="array" ref="G297">_xlfn.SWITCH(TRUE,
  $C297&lt;$Q$5,  $U$22*$C297+$V$22,
  $C297&lt;$Q$6,  $U$23*$C297+$V$23,
  $C297&lt;$Q$7,  $U$24*$C297+$V$24,
  $C297&lt;$Q$8, $U$25*$C297+$V$25,
  $C297&lt;$Q$9, $U$26*$C297+$V$26,
  $C297&lt;$Q$10, $U$27*$C297+$V$27,
  $C297&lt;$Q$11,  $U$28*$C297+$V$28,
  $C297&lt;$Q$12, $U$29*$C297+$V$29,
  $U$30*$C297+$V$30
)</f>
        <v>3.4</v>
      </c>
      <c r="H297" cm="1">
        <f t="array" ref="H297">_xlfn.LET(
  _xlpm.y,$C297,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7" cm="1">
        <f t="array" ref="I297">_xlfn.LET(
  _xlpm.y,$C297,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7" cm="1">
        <f t="array" ref="J297">_xlfn.LET(
  _xlpm.y,$C297,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7" cm="1">
        <f t="array" ref="K297">_xlfn.LET(
  _xlpm.y,$C297,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7" cm="1">
        <f t="array" ref="L297">_xlfn.LET(
  _xlpm.y,$C297,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7" cm="1">
        <f t="array" ref="M297">_xlfn.SWITCH(TRUE,
  $C297&lt;$Q$5,  $D$22,
  $C297&lt;$Q$6,  $D$23,
  $C297&lt;$Q$7,  $D$24,
  $C297&lt;$Q$8,  $D$25,
  $C297&lt;$Q$9,  $D$26,
  $C297&lt;$Q$10,  $D$27,
  $C297&lt;$Q$11,  $D$28,
  $C297&lt;$Q$12,  $D$29,
  $C297&lt;$Q$13,  $D$30,
  $C297&lt;100,  $D$31,
)</f>
        <v>0</v>
      </c>
      <c r="Q297" s="129"/>
      <c r="R297" s="244" cm="1">
        <f t="array" ref="R297">_xlfn.SWITCH(TRUE,
  $C297&lt;$Q$5,  $S$41*$C297+$T$41,
  $C297&lt;$Q$6,  $S$42*$C297+$T$42,
  $C297&lt;$Q$7,  $S$43*$C297+$T$43,
  $C297&lt;$Q$8, $S$44*$C297+$T$44,
  $C297&lt;$Q$9, $S$45*$C297+$T$45,
  $C297&lt;$Q$10, $S$46*$C297+$T$46,
  $C297&lt;$Q$11,  $S$47*$C297+$T$47,
  $C297&lt;$Q$12, $S$48*$C297+$T$48,
  $S$49*$C297+$T$49
)</f>
        <v>1.1000000000000001</v>
      </c>
      <c r="S297" cm="1">
        <f t="array" ref="S297">_xlfn.SWITCH(TRUE,
  $C297&lt;$Q$5,  $U$41*$C297+$V$41,
  $C297&lt;$Q$6,  $U$42*$C297+$V$42,
  $C297&lt;$Q$7,  $U$43*$C297+$V$43,
  $C297&lt;$Q$8, $U$44*$C297+$V$44,
  $C297&lt;$Q$9, $U$45*$C297+$V$45,
  $C297&lt;$Q$10, $U$46*$C297+$V$46,
  $C297&lt;$Q$11,  $U$47*$C297+$V$47,
  $C297&lt;$Q$12, $U$48*$C297+$V$48,
  $U$49*$C297+$V$49
)</f>
        <v>3.8</v>
      </c>
      <c r="T297">
        <f t="shared" si="21"/>
        <v>1</v>
      </c>
      <c r="U297">
        <f t="shared" si="22"/>
        <v>0</v>
      </c>
      <c r="V297">
        <f t="shared" si="23"/>
        <v>0</v>
      </c>
      <c r="W297">
        <f t="shared" si="24"/>
        <v>0</v>
      </c>
      <c r="X297">
        <f t="shared" si="25"/>
        <v>0</v>
      </c>
      <c r="Y297">
        <f t="shared" si="26"/>
        <v>0</v>
      </c>
      <c r="Z297">
        <v>6.470437859775767E-2</v>
      </c>
      <c r="AA297">
        <v>5.4737782980879093</v>
      </c>
      <c r="AB297">
        <v>0</v>
      </c>
      <c r="AC297" s="129">
        <v>0</v>
      </c>
      <c r="AD297" s="244" cm="1">
        <f t="array" ref="AD297">_xlfn.SWITCH(TRUE,
  $C297&lt;$Q$5,  $S$61*$C297+$T$61,
  $C297&lt;$Q$6,  $S$62*$C297+$T$62,
  $C297&lt;$Q$7,  $S$63*$C297+$T$63,
  $C297&lt;$Q$8, $S$64*$C297+$T$64,
  $C297&lt;$Q$9, $S$65*$C297+$T$65,
  $C297&lt;$Q$10, $S$66*$C297+$T$66,
  $C297&lt;$Q$11,  $S$67*$C297+$T$67,
  $C297&lt;$Q$12, $S$68*$C297+$T$68,
  $S$69*$C297+$T$69
)</f>
        <v>1.1000000000000001</v>
      </c>
      <c r="AE297" cm="1">
        <f t="array" ref="AE297">_xlfn.SWITCH(TRUE,
  $C297&lt;$Q$5,  $U$61*$C297+$V$61,
  $C297&lt;$Q$6,  $U$62*$C297+$V$62,
  $C297&lt;$Q$7,  $U$63*$C297+$V$63,
  $C297&lt;$Q$8, $U$64*$C297+$V$64,
  $C297&lt;$Q$9, $U$65*$C297+$V$65,
  $C297&lt;$Q$10, $U$66*$C297+$V$66,
  $C297&lt;$Q$11,  $U$67*$C297+$V$67,
  $C297&lt;$Q$12, $U$68*$C297+$V$68,
  $U$69*$C297+$V$69
)</f>
        <v>4</v>
      </c>
      <c r="AF297" cm="1">
        <f t="array" ref="AF297">_xlfn.LET(
  _xlpm.y,$C297,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97" cm="1">
        <f t="array" ref="AG297">_xlfn.LET(
  _xlpm.y,$C297,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7" cm="1">
        <f t="array" ref="AH297">_xlfn.LET(
  _xlpm.y,$C297,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97" cm="1">
        <f t="array" ref="AI297">_xlfn.LET(
  _xlpm.y,$C297,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7" cm="1">
        <f t="array" ref="AJ297">_xlfn.LET(
  _xlpm.y,$C297,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7">
        <f t="shared" si="27"/>
        <v>0</v>
      </c>
    </row>
    <row r="298" spans="2:41">
      <c r="B298">
        <f>'主翼(型紙出力)'!B141</f>
        <v>0</v>
      </c>
      <c r="C298">
        <f>INT(('主翼(型紙出力)'!C141)*1000)/1000</f>
        <v>0</v>
      </c>
      <c r="D298">
        <f>'主翼(型紙出力)'!E141</f>
        <v>0</v>
      </c>
      <c r="E298">
        <f>'主翼(重量推算)'!CE138</f>
        <v>0</v>
      </c>
      <c r="F298" s="244" cm="1">
        <f t="array" ref="F298">_xlfn.SWITCH(TRUE,
  $C298&lt;$Q$5,  $S$22*$C298+$T$22,
  $C298&lt;$Q$6,  $S$23*$C298+$T$23,
  $C298&lt;$Q$7,  $S$24*$C298+$T$24,
  $C298&lt;$Q$8, $S$25*$C298+$T$25,
  $C298&lt;$Q$9, $S$26*$C298+$T$26,
  $C298&lt;$Q$10, $S$27*$C298+$T$27,
  $C298&lt;$Q$11,  $S$28*$C298+$T$28,
  $C298&lt;$Q$12, $S$29*$C298+$T$29,
  $S$30*$C298+$T$30
)</f>
        <v>1.1000000000000001</v>
      </c>
      <c r="G298" cm="1">
        <f t="array" ref="G298">_xlfn.SWITCH(TRUE,
  $C298&lt;$Q$5,  $U$22*$C298+$V$22,
  $C298&lt;$Q$6,  $U$23*$C298+$V$23,
  $C298&lt;$Q$7,  $U$24*$C298+$V$24,
  $C298&lt;$Q$8, $U$25*$C298+$V$25,
  $C298&lt;$Q$9, $U$26*$C298+$V$26,
  $C298&lt;$Q$10, $U$27*$C298+$V$27,
  $C298&lt;$Q$11,  $U$28*$C298+$V$28,
  $C298&lt;$Q$12, $U$29*$C298+$V$29,
  $U$30*$C298+$V$30
)</f>
        <v>3.4</v>
      </c>
      <c r="H298" cm="1">
        <f t="array" ref="H298">_xlfn.LET(
  _xlpm.y,$C298,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8" cm="1">
        <f t="array" ref="I298">_xlfn.LET(
  _xlpm.y,$C298,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8" cm="1">
        <f t="array" ref="J298">_xlfn.LET(
  _xlpm.y,$C298,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8" cm="1">
        <f t="array" ref="K298">_xlfn.LET(
  _xlpm.y,$C298,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8" cm="1">
        <f t="array" ref="L298">_xlfn.LET(
  _xlpm.y,$C298,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8" cm="1">
        <f t="array" ref="M298">_xlfn.SWITCH(TRUE,
  $C298&lt;$Q$5,  $D$22,
  $C298&lt;$Q$6,  $D$23,
  $C298&lt;$Q$7,  $D$24,
  $C298&lt;$Q$8,  $D$25,
  $C298&lt;$Q$9,  $D$26,
  $C298&lt;$Q$10,  $D$27,
  $C298&lt;$Q$11,  $D$28,
  $C298&lt;$Q$12,  $D$29,
  $C298&lt;$Q$13,  $D$30,
  $C298&lt;100,  $D$31,
)</f>
        <v>0</v>
      </c>
      <c r="Q298" s="129"/>
      <c r="R298" s="244" cm="1">
        <f t="array" ref="R298">_xlfn.SWITCH(TRUE,
  $C298&lt;$Q$5,  $S$41*$C298+$T$41,
  $C298&lt;$Q$6,  $S$42*$C298+$T$42,
  $C298&lt;$Q$7,  $S$43*$C298+$T$43,
  $C298&lt;$Q$8, $S$44*$C298+$T$44,
  $C298&lt;$Q$9, $S$45*$C298+$T$45,
  $C298&lt;$Q$10, $S$46*$C298+$T$46,
  $C298&lt;$Q$11,  $S$47*$C298+$T$47,
  $C298&lt;$Q$12, $S$48*$C298+$T$48,
  $S$49*$C298+$T$49
)</f>
        <v>1.1000000000000001</v>
      </c>
      <c r="S298" cm="1">
        <f t="array" ref="S298">_xlfn.SWITCH(TRUE,
  $C298&lt;$Q$5,  $U$41*$C298+$V$41,
  $C298&lt;$Q$6,  $U$42*$C298+$V$42,
  $C298&lt;$Q$7,  $U$43*$C298+$V$43,
  $C298&lt;$Q$8, $U$44*$C298+$V$44,
  $C298&lt;$Q$9, $U$45*$C298+$V$45,
  $C298&lt;$Q$10, $U$46*$C298+$V$46,
  $C298&lt;$Q$11,  $U$47*$C298+$V$47,
  $C298&lt;$Q$12, $U$48*$C298+$V$48,
  $U$49*$C298+$V$49
)</f>
        <v>3.8</v>
      </c>
      <c r="T298">
        <f t="shared" si="21"/>
        <v>1</v>
      </c>
      <c r="U298">
        <f t="shared" si="22"/>
        <v>0</v>
      </c>
      <c r="V298">
        <f t="shared" si="23"/>
        <v>0</v>
      </c>
      <c r="W298">
        <f t="shared" si="24"/>
        <v>0</v>
      </c>
      <c r="X298">
        <f t="shared" si="25"/>
        <v>0</v>
      </c>
      <c r="Y298">
        <f t="shared" si="26"/>
        <v>0</v>
      </c>
      <c r="Z298">
        <v>6.470437859775767E-2</v>
      </c>
      <c r="AA298">
        <v>5.4737782980879093</v>
      </c>
      <c r="AB298">
        <v>0</v>
      </c>
      <c r="AC298" s="129">
        <v>0</v>
      </c>
      <c r="AD298" s="244" cm="1">
        <f t="array" ref="AD298">_xlfn.SWITCH(TRUE,
  $C298&lt;$Q$5,  $S$61*$C298+$T$61,
  $C298&lt;$Q$6,  $S$62*$C298+$T$62,
  $C298&lt;$Q$7,  $S$63*$C298+$T$63,
  $C298&lt;$Q$8, $S$64*$C298+$T$64,
  $C298&lt;$Q$9, $S$65*$C298+$T$65,
  $C298&lt;$Q$10, $S$66*$C298+$T$66,
  $C298&lt;$Q$11,  $S$67*$C298+$T$67,
  $C298&lt;$Q$12, $S$68*$C298+$T$68,
  $S$69*$C298+$T$69
)</f>
        <v>1.1000000000000001</v>
      </c>
      <c r="AE298" cm="1">
        <f t="array" ref="AE298">_xlfn.SWITCH(TRUE,
  $C298&lt;$Q$5,  $U$61*$C298+$V$61,
  $C298&lt;$Q$6,  $U$62*$C298+$V$62,
  $C298&lt;$Q$7,  $U$63*$C298+$V$63,
  $C298&lt;$Q$8, $U$64*$C298+$V$64,
  $C298&lt;$Q$9, $U$65*$C298+$V$65,
  $C298&lt;$Q$10, $U$66*$C298+$V$66,
  $C298&lt;$Q$11,  $U$67*$C298+$V$67,
  $C298&lt;$Q$12, $U$68*$C298+$V$68,
  $U$69*$C298+$V$69
)</f>
        <v>4</v>
      </c>
      <c r="AF298" cm="1">
        <f t="array" ref="AF298">_xlfn.LET(
  _xlpm.y,$C298,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98" cm="1">
        <f t="array" ref="AG298">_xlfn.LET(
  _xlpm.y,$C298,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8" cm="1">
        <f t="array" ref="AH298">_xlfn.LET(
  _xlpm.y,$C298,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98" cm="1">
        <f t="array" ref="AI298">_xlfn.LET(
  _xlpm.y,$C298,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8" cm="1">
        <f t="array" ref="AJ298">_xlfn.LET(
  _xlpm.y,$C298,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8">
        <f t="shared" si="27"/>
        <v>0</v>
      </c>
    </row>
    <row r="299" spans="2:41">
      <c r="B299">
        <f>'主翼(型紙出力)'!B142</f>
        <v>0</v>
      </c>
      <c r="C299">
        <f>INT(('主翼(型紙出力)'!C142)*1000)/1000</f>
        <v>0</v>
      </c>
      <c r="D299">
        <f>'主翼(型紙出力)'!E142</f>
        <v>0</v>
      </c>
      <c r="E299">
        <f>'主翼(重量推算)'!CE139</f>
        <v>0</v>
      </c>
      <c r="F299" s="244" cm="1">
        <f t="array" ref="F299">_xlfn.SWITCH(TRUE,
  $C299&lt;$Q$5,  $S$22*$C299+$T$22,
  $C299&lt;$Q$6,  $S$23*$C299+$T$23,
  $C299&lt;$Q$7,  $S$24*$C299+$T$24,
  $C299&lt;$Q$8, $S$25*$C299+$T$25,
  $C299&lt;$Q$9, $S$26*$C299+$T$26,
  $C299&lt;$Q$10, $S$27*$C299+$T$27,
  $C299&lt;$Q$11,  $S$28*$C299+$T$28,
  $C299&lt;$Q$12, $S$29*$C299+$T$29,
  $S$30*$C299+$T$30
)</f>
        <v>1.1000000000000001</v>
      </c>
      <c r="G299" cm="1">
        <f t="array" ref="G299">_xlfn.SWITCH(TRUE,
  $C299&lt;$Q$5,  $U$22*$C299+$V$22,
  $C299&lt;$Q$6,  $U$23*$C299+$V$23,
  $C299&lt;$Q$7,  $U$24*$C299+$V$24,
  $C299&lt;$Q$8, $U$25*$C299+$V$25,
  $C299&lt;$Q$9, $U$26*$C299+$V$26,
  $C299&lt;$Q$10, $U$27*$C299+$V$27,
  $C299&lt;$Q$11,  $U$28*$C299+$V$28,
  $C299&lt;$Q$12, $U$29*$C299+$V$29,
  $U$30*$C299+$V$30
)</f>
        <v>3.4</v>
      </c>
      <c r="H299" cm="1">
        <f t="array" ref="H299">_xlfn.LET(
  _xlpm.y,$C299,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9" cm="1">
        <f t="array" ref="I299">_xlfn.LET(
  _xlpm.y,$C299,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9" cm="1">
        <f t="array" ref="J299">_xlfn.LET(
  _xlpm.y,$C299,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9" cm="1">
        <f t="array" ref="K299">_xlfn.LET(
  _xlpm.y,$C299,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9" cm="1">
        <f t="array" ref="L299">_xlfn.LET(
  _xlpm.y,$C299,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9" cm="1">
        <f t="array" ref="M299">_xlfn.SWITCH(TRUE,
  $C299&lt;$Q$5,  $D$22,
  $C299&lt;$Q$6,  $D$23,
  $C299&lt;$Q$7,  $D$24,
  $C299&lt;$Q$8,  $D$25,
  $C299&lt;$Q$9,  $D$26,
  $C299&lt;$Q$10,  $D$27,
  $C299&lt;$Q$11,  $D$28,
  $C299&lt;$Q$12,  $D$29,
  $C299&lt;$Q$13,  $D$30,
  $C299&lt;100,  $D$31,
)</f>
        <v>0</v>
      </c>
      <c r="Q299" s="129"/>
      <c r="R299" s="244" cm="1">
        <f t="array" ref="R299">_xlfn.SWITCH(TRUE,
  $C299&lt;$Q$5,  $S$41*$C299+$T$41,
  $C299&lt;$Q$6,  $S$42*$C299+$T$42,
  $C299&lt;$Q$7,  $S$43*$C299+$T$43,
  $C299&lt;$Q$8, $S$44*$C299+$T$44,
  $C299&lt;$Q$9, $S$45*$C299+$T$45,
  $C299&lt;$Q$10, $S$46*$C299+$T$46,
  $C299&lt;$Q$11,  $S$47*$C299+$T$47,
  $C299&lt;$Q$12, $S$48*$C299+$T$48,
  $S$49*$C299+$T$49
)</f>
        <v>1.1000000000000001</v>
      </c>
      <c r="S299" cm="1">
        <f t="array" ref="S299">_xlfn.SWITCH(TRUE,
  $C299&lt;$Q$5,  $U$41*$C299+$V$41,
  $C299&lt;$Q$6,  $U$42*$C299+$V$42,
  $C299&lt;$Q$7,  $U$43*$C299+$V$43,
  $C299&lt;$Q$8, $U$44*$C299+$V$44,
  $C299&lt;$Q$9, $U$45*$C299+$V$45,
  $C299&lt;$Q$10, $U$46*$C299+$V$46,
  $C299&lt;$Q$11,  $U$47*$C299+$V$47,
  $C299&lt;$Q$12, $U$48*$C299+$V$48,
  $U$49*$C299+$V$49
)</f>
        <v>3.8</v>
      </c>
      <c r="T299">
        <f t="shared" si="21"/>
        <v>1</v>
      </c>
      <c r="U299">
        <f t="shared" si="22"/>
        <v>0</v>
      </c>
      <c r="V299">
        <f t="shared" si="23"/>
        <v>0</v>
      </c>
      <c r="W299">
        <f t="shared" si="24"/>
        <v>0</v>
      </c>
      <c r="X299">
        <f t="shared" si="25"/>
        <v>0</v>
      </c>
      <c r="Y299">
        <f t="shared" si="26"/>
        <v>0</v>
      </c>
      <c r="Z299">
        <v>6.470437859775767E-2</v>
      </c>
      <c r="AA299">
        <v>5.4737782980879093</v>
      </c>
      <c r="AB299">
        <v>0</v>
      </c>
      <c r="AC299" s="129">
        <v>0</v>
      </c>
      <c r="AD299" s="244" cm="1">
        <f t="array" ref="AD299">_xlfn.SWITCH(TRUE,
  $C299&lt;$Q$5,  $S$61*$C299+$T$61,
  $C299&lt;$Q$6,  $S$62*$C299+$T$62,
  $C299&lt;$Q$7,  $S$63*$C299+$T$63,
  $C299&lt;$Q$8, $S$64*$C299+$T$64,
  $C299&lt;$Q$9, $S$65*$C299+$T$65,
  $C299&lt;$Q$10, $S$66*$C299+$T$66,
  $C299&lt;$Q$11,  $S$67*$C299+$T$67,
  $C299&lt;$Q$12, $S$68*$C299+$T$68,
  $S$69*$C299+$T$69
)</f>
        <v>1.1000000000000001</v>
      </c>
      <c r="AE299" cm="1">
        <f t="array" ref="AE299">_xlfn.SWITCH(TRUE,
  $C299&lt;$Q$5,  $U$61*$C299+$V$61,
  $C299&lt;$Q$6,  $U$62*$C299+$V$62,
  $C299&lt;$Q$7,  $U$63*$C299+$V$63,
  $C299&lt;$Q$8, $U$64*$C299+$V$64,
  $C299&lt;$Q$9, $U$65*$C299+$V$65,
  $C299&lt;$Q$10, $U$66*$C299+$V$66,
  $C299&lt;$Q$11,  $U$67*$C299+$V$67,
  $C299&lt;$Q$12, $U$68*$C299+$V$68,
  $U$69*$C299+$V$69
)</f>
        <v>4</v>
      </c>
      <c r="AF299" cm="1">
        <f t="array" ref="AF299">_xlfn.LET(
  _xlpm.y,$C299,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99" cm="1">
        <f t="array" ref="AG299">_xlfn.LET(
  _xlpm.y,$C299,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9" cm="1">
        <f t="array" ref="AH299">_xlfn.LET(
  _xlpm.y,$C299,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99" cm="1">
        <f t="array" ref="AI299">_xlfn.LET(
  _xlpm.y,$C299,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9" cm="1">
        <f t="array" ref="AJ299">_xlfn.LET(
  _xlpm.y,$C299,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9">
        <f t="shared" si="27"/>
        <v>0</v>
      </c>
    </row>
    <row r="300" spans="2:41">
      <c r="B300">
        <f>'主翼(型紙出力)'!B143</f>
        <v>0</v>
      </c>
      <c r="C300">
        <f>'主翼(型紙出力)'!C143</f>
        <v>0</v>
      </c>
      <c r="D300">
        <f>'主翼(型紙出力)'!E143</f>
        <v>0</v>
      </c>
      <c r="E300">
        <f>'主翼(重量推算)'!CE140</f>
        <v>0</v>
      </c>
      <c r="F300" s="244" cm="1">
        <f t="array" ref="F300">_xlfn.SWITCH(TRUE,
  $C300&lt;$Q$5,  $S$22*$C300+$T$22,
  $C300&lt;$Q$6,  $S$23*$C300+$T$23,
  $C300&lt;$Q$7,  $S$24*$C300+$T$24,
  $C300&lt;$Q$8, $S$25*$C300+$T$25,
  $C300&lt;$Q$9, $S$26*$C300+$T$26,
  $C300&lt;$Q$10, $S$27*$C300+$T$27,
  $C300&lt;$Q$11,  $S$28*$C300+$T$28,
  $C300&lt;$Q$12, $S$29*$C300+$T$29,
  $S$30*$C300+$T$30
)</f>
        <v>1.1000000000000001</v>
      </c>
      <c r="G300" cm="1">
        <f t="array" ref="G300">_xlfn.SWITCH(TRUE,
  $C300&lt;$Q$5,  $U$22*$C300+$V$22,
  $C300&lt;$Q$6,  $U$23*$C300+$V$23,
  $C300&lt;$Q$7,  $U$24*$C300+$V$24,
  $C300&lt;$Q$8, $U$25*$C300+$V$25,
  $C300&lt;$Q$9, $U$26*$C300+$V$26,
  $C300&lt;$Q$10, $U$27*$C300+$V$27,
  $C300&lt;$Q$11,  $U$28*$C300+$V$28,
  $C300&lt;$Q$12, $U$29*$C300+$V$29,
  $U$30*$C300+$V$30
)</f>
        <v>3.4</v>
      </c>
      <c r="H300" cm="1">
        <f t="array" ref="H300">_xlfn.LET(
  _xlpm.y,$C300,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0" cm="1">
        <f t="array" ref="I300">_xlfn.LET(
  _xlpm.y,$C300,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0" cm="1">
        <f t="array" ref="J300">_xlfn.LET(
  _xlpm.y,$C300,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0" cm="1">
        <f t="array" ref="K300">_xlfn.LET(
  _xlpm.y,$C300,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0" cm="1">
        <f t="array" ref="L300">_xlfn.LET(
  _xlpm.y,$C300,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0" cm="1">
        <f t="array" ref="M300">_xlfn.SWITCH(TRUE,
  $C300&lt;$Q$5,  $D$22,
  $C300&lt;$Q$6,  $D$23,
  $C300&lt;$Q$7,  $D$24,
  $C300&lt;$Q$8,  $D$25,
  $C300&lt;$Q$9,  $D$26,
  $C300&lt;$Q$10,  $D$27,
  $C300&lt;$Q$11,  $D$28,
  $C300&lt;$Q$12,  $D$29,
  $C300&lt;$Q$13,  $D$30,
  $C300&lt;100,  $D$31,
)</f>
        <v>0</v>
      </c>
      <c r="Q300" s="129"/>
      <c r="R300" s="244" cm="1">
        <f t="array" ref="R300">_xlfn.SWITCH(TRUE,
  $C300&lt;$Q$5,  $S$41*$C300+$T$41,
  $C300&lt;$Q$6,  $S$42*$C300+$T$42,
  $C300&lt;$Q$7,  $S$43*$C300+$T$43,
  $C300&lt;$Q$8, $S$44*$C300+$T$44,
  $C300&lt;$Q$9, $S$45*$C300+$T$45,
  $C300&lt;$Q$10, $S$46*$C300+$T$46,
  $C300&lt;$Q$11,  $S$47*$C300+$T$47,
  $C300&lt;$Q$12, $S$48*$C300+$T$48,
  $S$49*$C300+$T$49
)</f>
        <v>1.1000000000000001</v>
      </c>
      <c r="S300" cm="1">
        <f t="array" ref="S300">_xlfn.SWITCH(TRUE,
  $C300&lt;$Q$5,  $U$41*$C300+$V$41,
  $C300&lt;$Q$6,  $U$42*$C300+$V$42,
  $C300&lt;$Q$7,  $U$43*$C300+$V$43,
  $C300&lt;$Q$8, $U$44*$C300+$V$44,
  $C300&lt;$Q$9, $U$45*$C300+$V$45,
  $C300&lt;$Q$10, $U$46*$C300+$V$46,
  $C300&lt;$Q$11,  $U$47*$C300+$V$47,
  $C300&lt;$Q$12, $U$48*$C300+$V$48,
  $U$49*$C300+$V$49
)</f>
        <v>3.8</v>
      </c>
      <c r="T300">
        <f t="shared" si="21"/>
        <v>1</v>
      </c>
      <c r="U300">
        <f t="shared" si="22"/>
        <v>0</v>
      </c>
      <c r="V300">
        <f t="shared" si="23"/>
        <v>0</v>
      </c>
      <c r="W300">
        <f t="shared" si="24"/>
        <v>0</v>
      </c>
      <c r="X300">
        <f t="shared" si="25"/>
        <v>0</v>
      </c>
      <c r="Y300">
        <f t="shared" si="26"/>
        <v>0</v>
      </c>
      <c r="Z300">
        <v>6.470437859775767E-2</v>
      </c>
      <c r="AA300">
        <v>5.4737782980879093</v>
      </c>
      <c r="AB300">
        <v>0</v>
      </c>
      <c r="AC300" s="129">
        <v>0</v>
      </c>
      <c r="AD300" s="244" cm="1">
        <f t="array" ref="AD300">_xlfn.SWITCH(TRUE,
  $C300&lt;$Q$5,  $S$61*$C300+$T$61,
  $C300&lt;$Q$6,  $S$62*$C300+$T$62,
  $C300&lt;$Q$7,  $S$63*$C300+$T$63,
  $C300&lt;$Q$8, $S$64*$C300+$T$64,
  $C300&lt;$Q$9, $S$65*$C300+$T$65,
  $C300&lt;$Q$10, $S$66*$C300+$T$66,
  $C300&lt;$Q$11,  $S$67*$C300+$T$67,
  $C300&lt;$Q$12, $S$68*$C300+$T$68,
  $S$69*$C300+$T$69
)</f>
        <v>1.1000000000000001</v>
      </c>
      <c r="AE300" cm="1">
        <f t="array" ref="AE300">_xlfn.SWITCH(TRUE,
  $C300&lt;$Q$5,  $U$61*$C300+$V$61,
  $C300&lt;$Q$6,  $U$62*$C300+$V$62,
  $C300&lt;$Q$7,  $U$63*$C300+$V$63,
  $C300&lt;$Q$8, $U$64*$C300+$V$64,
  $C300&lt;$Q$9, $U$65*$C300+$V$65,
  $C300&lt;$Q$10, $U$66*$C300+$V$66,
  $C300&lt;$Q$11,  $U$67*$C300+$V$67,
  $C300&lt;$Q$12, $U$68*$C300+$V$68,
  $U$69*$C300+$V$69
)</f>
        <v>4</v>
      </c>
      <c r="AF300" cm="1">
        <f t="array" ref="AF300">_xlfn.LET(
  _xlpm.y,$C300,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0" cm="1">
        <f t="array" ref="AG300">_xlfn.LET(
  _xlpm.y,$C300,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0" cm="1">
        <f t="array" ref="AH300">_xlfn.LET(
  _xlpm.y,$C300,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0" cm="1">
        <f t="array" ref="AI300">_xlfn.LET(
  _xlpm.y,$C300,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0" cm="1">
        <f t="array" ref="AJ300">_xlfn.LET(
  _xlpm.y,$C300,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0">
        <f t="shared" si="27"/>
        <v>0</v>
      </c>
    </row>
    <row r="301" spans="2:41">
      <c r="B301">
        <f>'主翼(型紙出力)'!B144</f>
        <v>0</v>
      </c>
      <c r="C301">
        <f>'主翼(型紙出力)'!C144</f>
        <v>0</v>
      </c>
      <c r="D301">
        <f>'主翼(型紙出力)'!E144</f>
        <v>0</v>
      </c>
      <c r="E301">
        <f>'主翼(重量推算)'!CE141</f>
        <v>0</v>
      </c>
      <c r="F301" s="244" cm="1">
        <f t="array" ref="F301">_xlfn.SWITCH(TRUE,
  $C301&lt;$Q$5,  $S$22*$C301+$T$22,
  $C301&lt;$Q$6,  $S$23*$C301+$T$23,
  $C301&lt;$Q$7,  $S$24*$C301+$T$24,
  $C301&lt;$Q$8, $S$25*$C301+$T$25,
  $C301&lt;$Q$9, $S$26*$C301+$T$26,
  $C301&lt;$Q$10, $S$27*$C301+$T$27,
  $C301&lt;$Q$11,  $S$28*$C301+$T$28,
  $C301&lt;$Q$12, $S$29*$C301+$T$29,
  $S$30*$C301+$T$30
)</f>
        <v>1.1000000000000001</v>
      </c>
      <c r="G301" cm="1">
        <f t="array" ref="G301">_xlfn.SWITCH(TRUE,
  $C301&lt;$Q$5,  $U$22*$C301+$V$22,
  $C301&lt;$Q$6,  $U$23*$C301+$V$23,
  $C301&lt;$Q$7,  $U$24*$C301+$V$24,
  $C301&lt;$Q$8, $U$25*$C301+$V$25,
  $C301&lt;$Q$9, $U$26*$C301+$V$26,
  $C301&lt;$Q$10, $U$27*$C301+$V$27,
  $C301&lt;$Q$11,  $U$28*$C301+$V$28,
  $C301&lt;$Q$12, $U$29*$C301+$V$29,
  $U$30*$C301+$V$30
)</f>
        <v>3.4</v>
      </c>
      <c r="H301" cm="1">
        <f t="array" ref="H301">_xlfn.LET(
  _xlpm.y,$C301,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1" cm="1">
        <f t="array" ref="I301">_xlfn.LET(
  _xlpm.y,$C301,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1" cm="1">
        <f t="array" ref="J301">_xlfn.LET(
  _xlpm.y,$C301,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1" cm="1">
        <f t="array" ref="K301">_xlfn.LET(
  _xlpm.y,$C301,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1" cm="1">
        <f t="array" ref="L301">_xlfn.LET(
  _xlpm.y,$C301,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1" cm="1">
        <f t="array" ref="M301">_xlfn.SWITCH(TRUE,
  $C301&lt;$Q$5,  $D$22,
  $C301&lt;$Q$6,  $D$23,
  $C301&lt;$Q$7,  $D$24,
  $C301&lt;$Q$8,  $D$25,
  $C301&lt;$Q$9,  $D$26,
  $C301&lt;$Q$10,  $D$27,
  $C301&lt;$Q$11,  $D$28,
  $C301&lt;$Q$12,  $D$29,
  $C301&lt;$Q$13,  $D$30,
  $C301&lt;100,  $D$31,
)</f>
        <v>0</v>
      </c>
      <c r="Q301" s="129"/>
      <c r="R301" s="244" cm="1">
        <f t="array" ref="R301">_xlfn.SWITCH(TRUE,
  $C301&lt;$Q$5,  $S$41*$C301+$T$41,
  $C301&lt;$Q$6,  $S$42*$C301+$T$42,
  $C301&lt;$Q$7,  $S$43*$C301+$T$43,
  $C301&lt;$Q$8, $S$44*$C301+$T$44,
  $C301&lt;$Q$9, $S$45*$C301+$T$45,
  $C301&lt;$Q$10, $S$46*$C301+$T$46,
  $C301&lt;$Q$11,  $S$47*$C301+$T$47,
  $C301&lt;$Q$12, $S$48*$C301+$T$48,
  $S$49*$C301+$T$49
)</f>
        <v>1.1000000000000001</v>
      </c>
      <c r="S301" cm="1">
        <f t="array" ref="S301">_xlfn.SWITCH(TRUE,
  $C301&lt;$Q$5,  $U$41*$C301+$V$41,
  $C301&lt;$Q$6,  $U$42*$C301+$V$42,
  $C301&lt;$Q$7,  $U$43*$C301+$V$43,
  $C301&lt;$Q$8, $U$44*$C301+$V$44,
  $C301&lt;$Q$9, $U$45*$C301+$V$45,
  $C301&lt;$Q$10, $U$46*$C301+$V$46,
  $C301&lt;$Q$11,  $U$47*$C301+$V$47,
  $C301&lt;$Q$12, $U$48*$C301+$V$48,
  $U$49*$C301+$V$49
)</f>
        <v>3.8</v>
      </c>
      <c r="T301">
        <f t="shared" si="21"/>
        <v>1</v>
      </c>
      <c r="U301">
        <f t="shared" si="22"/>
        <v>0</v>
      </c>
      <c r="V301">
        <f t="shared" si="23"/>
        <v>0</v>
      </c>
      <c r="W301">
        <f t="shared" si="24"/>
        <v>0</v>
      </c>
      <c r="X301">
        <f t="shared" si="25"/>
        <v>0</v>
      </c>
      <c r="Y301">
        <f t="shared" si="26"/>
        <v>0</v>
      </c>
      <c r="Z301">
        <v>6.470437859775767E-2</v>
      </c>
      <c r="AA301">
        <v>5.4737782980879093</v>
      </c>
      <c r="AB301">
        <v>0</v>
      </c>
      <c r="AC301" s="129">
        <v>0</v>
      </c>
      <c r="AD301" s="244" cm="1">
        <f t="array" ref="AD301">_xlfn.SWITCH(TRUE,
  $C301&lt;$Q$5,  $S$61*$C301+$T$61,
  $C301&lt;$Q$6,  $S$62*$C301+$T$62,
  $C301&lt;$Q$7,  $S$63*$C301+$T$63,
  $C301&lt;$Q$8, $S$64*$C301+$T$64,
  $C301&lt;$Q$9, $S$65*$C301+$T$65,
  $C301&lt;$Q$10, $S$66*$C301+$T$66,
  $C301&lt;$Q$11,  $S$67*$C301+$T$67,
  $C301&lt;$Q$12, $S$68*$C301+$T$68,
  $S$69*$C301+$T$69
)</f>
        <v>1.1000000000000001</v>
      </c>
      <c r="AE301" cm="1">
        <f t="array" ref="AE301">_xlfn.SWITCH(TRUE,
  $C301&lt;$Q$5,  $U$61*$C301+$V$61,
  $C301&lt;$Q$6,  $U$62*$C301+$V$62,
  $C301&lt;$Q$7,  $U$63*$C301+$V$63,
  $C301&lt;$Q$8, $U$64*$C301+$V$64,
  $C301&lt;$Q$9, $U$65*$C301+$V$65,
  $C301&lt;$Q$10, $U$66*$C301+$V$66,
  $C301&lt;$Q$11,  $U$67*$C301+$V$67,
  $C301&lt;$Q$12, $U$68*$C301+$V$68,
  $U$69*$C301+$V$69
)</f>
        <v>4</v>
      </c>
      <c r="AF301" cm="1">
        <f t="array" ref="AF301">_xlfn.LET(
  _xlpm.y,$C301,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1" cm="1">
        <f t="array" ref="AG301">_xlfn.LET(
  _xlpm.y,$C301,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1" cm="1">
        <f t="array" ref="AH301">_xlfn.LET(
  _xlpm.y,$C301,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1" cm="1">
        <f t="array" ref="AI301">_xlfn.LET(
  _xlpm.y,$C301,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1" cm="1">
        <f t="array" ref="AJ301">_xlfn.LET(
  _xlpm.y,$C301,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1">
        <f t="shared" si="27"/>
        <v>0</v>
      </c>
    </row>
    <row r="302" spans="2:41">
      <c r="B302">
        <f>'主翼(型紙出力)'!B145</f>
        <v>0</v>
      </c>
      <c r="C302">
        <f>'主翼(型紙出力)'!C145</f>
        <v>0</v>
      </c>
      <c r="D302">
        <f>'主翼(型紙出力)'!E145</f>
        <v>0</v>
      </c>
      <c r="E302">
        <f>'主翼(重量推算)'!CE142</f>
        <v>0</v>
      </c>
      <c r="F302" s="244" cm="1">
        <f t="array" ref="F302">_xlfn.SWITCH(TRUE,
  $C302&lt;$Q$5,  $S$22*$C302+$T$22,
  $C302&lt;$Q$6,  $S$23*$C302+$T$23,
  $C302&lt;$Q$7,  $S$24*$C302+$T$24,
  $C302&lt;$Q$8, $S$25*$C302+$T$25,
  $C302&lt;$Q$9, $S$26*$C302+$T$26,
  $C302&lt;$Q$10, $S$27*$C302+$T$27,
  $C302&lt;$Q$11,  $S$28*$C302+$T$28,
  $C302&lt;$Q$12, $S$29*$C302+$T$29,
  $S$30*$C302+$T$30
)</f>
        <v>1.1000000000000001</v>
      </c>
      <c r="G302" cm="1">
        <f t="array" ref="G302">_xlfn.SWITCH(TRUE,
  $C302&lt;$Q$5,  $U$22*$C302+$V$22,
  $C302&lt;$Q$6,  $U$23*$C302+$V$23,
  $C302&lt;$Q$7,  $U$24*$C302+$V$24,
  $C302&lt;$Q$8, $U$25*$C302+$V$25,
  $C302&lt;$Q$9, $U$26*$C302+$V$26,
  $C302&lt;$Q$10, $U$27*$C302+$V$27,
  $C302&lt;$Q$11,  $U$28*$C302+$V$28,
  $C302&lt;$Q$12, $U$29*$C302+$V$29,
  $U$30*$C302+$V$30
)</f>
        <v>3.4</v>
      </c>
      <c r="H302" cm="1">
        <f t="array" ref="H302">_xlfn.LET(
  _xlpm.y,$C302,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2" cm="1">
        <f t="array" ref="I302">_xlfn.LET(
  _xlpm.y,$C302,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2" cm="1">
        <f t="array" ref="J302">_xlfn.LET(
  _xlpm.y,$C302,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2" cm="1">
        <f t="array" ref="K302">_xlfn.LET(
  _xlpm.y,$C302,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2" cm="1">
        <f t="array" ref="L302">_xlfn.LET(
  _xlpm.y,$C302,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2" cm="1">
        <f t="array" ref="M302">_xlfn.SWITCH(TRUE,
  $C302&lt;$Q$5,  $D$22,
  $C302&lt;$Q$6,  $D$23,
  $C302&lt;$Q$7,  $D$24,
  $C302&lt;$Q$8,  $D$25,
  $C302&lt;$Q$9,  $D$26,
  $C302&lt;$Q$10,  $D$27,
  $C302&lt;$Q$11,  $D$28,
  $C302&lt;$Q$12,  $D$29,
  $C302&lt;$Q$13,  $D$30,
  $C302&lt;100,  $D$31,
)</f>
        <v>0</v>
      </c>
      <c r="Q302" s="129"/>
      <c r="R302" s="244" cm="1">
        <f t="array" ref="R302">_xlfn.SWITCH(TRUE,
  $C302&lt;$Q$5,  $S$41*$C302+$T$41,
  $C302&lt;$Q$6,  $S$42*$C302+$T$42,
  $C302&lt;$Q$7,  $S$43*$C302+$T$43,
  $C302&lt;$Q$8, $S$44*$C302+$T$44,
  $C302&lt;$Q$9, $S$45*$C302+$T$45,
  $C302&lt;$Q$10, $S$46*$C302+$T$46,
  $C302&lt;$Q$11,  $S$47*$C302+$T$47,
  $C302&lt;$Q$12, $S$48*$C302+$T$48,
  $S$49*$C302+$T$49
)</f>
        <v>1.1000000000000001</v>
      </c>
      <c r="S302" cm="1">
        <f t="array" ref="S302">_xlfn.SWITCH(TRUE,
  $C302&lt;$Q$5,  $U$41*$C302+$V$41,
  $C302&lt;$Q$6,  $U$42*$C302+$V$42,
  $C302&lt;$Q$7,  $U$43*$C302+$V$43,
  $C302&lt;$Q$8, $U$44*$C302+$V$44,
  $C302&lt;$Q$9, $U$45*$C302+$V$45,
  $C302&lt;$Q$10, $U$46*$C302+$V$46,
  $C302&lt;$Q$11,  $U$47*$C302+$V$47,
  $C302&lt;$Q$12, $U$48*$C302+$V$48,
  $U$49*$C302+$V$49
)</f>
        <v>3.8</v>
      </c>
      <c r="T302">
        <f t="shared" si="21"/>
        <v>1</v>
      </c>
      <c r="U302">
        <f t="shared" si="22"/>
        <v>0</v>
      </c>
      <c r="V302">
        <f t="shared" si="23"/>
        <v>0</v>
      </c>
      <c r="W302">
        <f t="shared" si="24"/>
        <v>0</v>
      </c>
      <c r="X302">
        <f t="shared" si="25"/>
        <v>0</v>
      </c>
      <c r="Y302">
        <f t="shared" si="26"/>
        <v>0</v>
      </c>
      <c r="Z302">
        <v>6.470437859775767E-2</v>
      </c>
      <c r="AA302">
        <v>5.4737782980879093</v>
      </c>
      <c r="AB302">
        <v>0</v>
      </c>
      <c r="AC302" s="129">
        <v>0</v>
      </c>
      <c r="AD302" s="244" cm="1">
        <f t="array" ref="AD302">_xlfn.SWITCH(TRUE,
  $C302&lt;$Q$5,  $S$61*$C302+$T$61,
  $C302&lt;$Q$6,  $S$62*$C302+$T$62,
  $C302&lt;$Q$7,  $S$63*$C302+$T$63,
  $C302&lt;$Q$8, $S$64*$C302+$T$64,
  $C302&lt;$Q$9, $S$65*$C302+$T$65,
  $C302&lt;$Q$10, $S$66*$C302+$T$66,
  $C302&lt;$Q$11,  $S$67*$C302+$T$67,
  $C302&lt;$Q$12, $S$68*$C302+$T$68,
  $S$69*$C302+$T$69
)</f>
        <v>1.1000000000000001</v>
      </c>
      <c r="AE302" cm="1">
        <f t="array" ref="AE302">_xlfn.SWITCH(TRUE,
  $C302&lt;$Q$5,  $U$61*$C302+$V$61,
  $C302&lt;$Q$6,  $U$62*$C302+$V$62,
  $C302&lt;$Q$7,  $U$63*$C302+$V$63,
  $C302&lt;$Q$8, $U$64*$C302+$V$64,
  $C302&lt;$Q$9, $U$65*$C302+$V$65,
  $C302&lt;$Q$10, $U$66*$C302+$V$66,
  $C302&lt;$Q$11,  $U$67*$C302+$V$67,
  $C302&lt;$Q$12, $U$68*$C302+$V$68,
  $U$69*$C302+$V$69
)</f>
        <v>4</v>
      </c>
      <c r="AF302" cm="1">
        <f t="array" ref="AF302">_xlfn.LET(
  _xlpm.y,$C302,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2" cm="1">
        <f t="array" ref="AG302">_xlfn.LET(
  _xlpm.y,$C302,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2" cm="1">
        <f t="array" ref="AH302">_xlfn.LET(
  _xlpm.y,$C302,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2" cm="1">
        <f t="array" ref="AI302">_xlfn.LET(
  _xlpm.y,$C302,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2" cm="1">
        <f t="array" ref="AJ302">_xlfn.LET(
  _xlpm.y,$C302,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2">
        <f t="shared" si="27"/>
        <v>0</v>
      </c>
    </row>
    <row r="303" spans="2:41">
      <c r="B303">
        <f>'主翼(型紙出力)'!B146</f>
        <v>0</v>
      </c>
      <c r="C303">
        <f>'主翼(型紙出力)'!C146</f>
        <v>0</v>
      </c>
      <c r="D303">
        <f>'主翼(型紙出力)'!E146</f>
        <v>0</v>
      </c>
      <c r="E303">
        <f>'主翼(重量推算)'!CE143</f>
        <v>0</v>
      </c>
      <c r="F303" s="244" cm="1">
        <f t="array" ref="F303">_xlfn.SWITCH(TRUE,
  $C303&lt;$Q$5,  $S$22*$C303+$T$22,
  $C303&lt;$Q$6,  $S$23*$C303+$T$23,
  $C303&lt;$Q$7,  $S$24*$C303+$T$24,
  $C303&lt;$Q$8, $S$25*$C303+$T$25,
  $C303&lt;$Q$9, $S$26*$C303+$T$26,
  $C303&lt;$Q$10, $S$27*$C303+$T$27,
  $C303&lt;$Q$11,  $S$28*$C303+$T$28,
  $C303&lt;$Q$12, $S$29*$C303+$T$29,
  $S$30*$C303+$T$30
)</f>
        <v>1.1000000000000001</v>
      </c>
      <c r="G303" cm="1">
        <f t="array" ref="G303">_xlfn.SWITCH(TRUE,
  $C303&lt;$Q$5,  $U$22*$C303+$V$22,
  $C303&lt;$Q$6,  $U$23*$C303+$V$23,
  $C303&lt;$Q$7,  $U$24*$C303+$V$24,
  $C303&lt;$Q$8, $U$25*$C303+$V$25,
  $C303&lt;$Q$9, $U$26*$C303+$V$26,
  $C303&lt;$Q$10, $U$27*$C303+$V$27,
  $C303&lt;$Q$11,  $U$28*$C303+$V$28,
  $C303&lt;$Q$12, $U$29*$C303+$V$29,
  $U$30*$C303+$V$30
)</f>
        <v>3.4</v>
      </c>
      <c r="H303" cm="1">
        <f t="array" ref="H303">_xlfn.LET(
  _xlpm.y,$C303,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3" cm="1">
        <f t="array" ref="I303">_xlfn.LET(
  _xlpm.y,$C303,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3" cm="1">
        <f t="array" ref="J303">_xlfn.LET(
  _xlpm.y,$C303,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3" cm="1">
        <f t="array" ref="K303">_xlfn.LET(
  _xlpm.y,$C303,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3" cm="1">
        <f t="array" ref="L303">_xlfn.LET(
  _xlpm.y,$C303,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3" cm="1">
        <f t="array" ref="M303">_xlfn.SWITCH(TRUE,
  $C303&lt;$Q$5,  $D$22,
  $C303&lt;$Q$6,  $D$23,
  $C303&lt;$Q$7,  $D$24,
  $C303&lt;$Q$8,  $D$25,
  $C303&lt;$Q$9,  $D$26,
  $C303&lt;$Q$10,  $D$27,
  $C303&lt;$Q$11,  $D$28,
  $C303&lt;$Q$12,  $D$29,
  $C303&lt;$Q$13,  $D$30,
  $C303&lt;100,  $D$31,
)</f>
        <v>0</v>
      </c>
      <c r="Q303" s="129"/>
      <c r="R303" s="244" cm="1">
        <f t="array" ref="R303">_xlfn.SWITCH(TRUE,
  $C303&lt;$Q$5,  $S$41*$C303+$T$41,
  $C303&lt;$Q$6,  $S$42*$C303+$T$42,
  $C303&lt;$Q$7,  $S$43*$C303+$T$43,
  $C303&lt;$Q$8, $S$44*$C303+$T$44,
  $C303&lt;$Q$9, $S$45*$C303+$T$45,
  $C303&lt;$Q$10, $S$46*$C303+$T$46,
  $C303&lt;$Q$11,  $S$47*$C303+$T$47,
  $C303&lt;$Q$12, $S$48*$C303+$T$48,
  $S$49*$C303+$T$49
)</f>
        <v>1.1000000000000001</v>
      </c>
      <c r="S303" cm="1">
        <f t="array" ref="S303">_xlfn.SWITCH(TRUE,
  $C303&lt;$Q$5,  $U$41*$C303+$V$41,
  $C303&lt;$Q$6,  $U$42*$C303+$V$42,
  $C303&lt;$Q$7,  $U$43*$C303+$V$43,
  $C303&lt;$Q$8, $U$44*$C303+$V$44,
  $C303&lt;$Q$9, $U$45*$C303+$V$45,
  $C303&lt;$Q$10, $U$46*$C303+$V$46,
  $C303&lt;$Q$11,  $U$47*$C303+$V$47,
  $C303&lt;$Q$12, $U$48*$C303+$V$48,
  $U$49*$C303+$V$49
)</f>
        <v>3.8</v>
      </c>
      <c r="T303">
        <f t="shared" si="21"/>
        <v>1</v>
      </c>
      <c r="U303">
        <f t="shared" si="22"/>
        <v>0</v>
      </c>
      <c r="V303">
        <f t="shared" si="23"/>
        <v>0</v>
      </c>
      <c r="W303">
        <f t="shared" si="24"/>
        <v>0</v>
      </c>
      <c r="X303">
        <f t="shared" si="25"/>
        <v>0</v>
      </c>
      <c r="Y303">
        <f t="shared" si="26"/>
        <v>0</v>
      </c>
      <c r="Z303">
        <v>6.470437859775767E-2</v>
      </c>
      <c r="AA303">
        <v>5.4737782980879093</v>
      </c>
      <c r="AB303">
        <v>0</v>
      </c>
      <c r="AC303" s="129">
        <v>0</v>
      </c>
      <c r="AD303" s="244" cm="1">
        <f t="array" ref="AD303">_xlfn.SWITCH(TRUE,
  $C303&lt;$Q$5,  $S$61*$C303+$T$61,
  $C303&lt;$Q$6,  $S$62*$C303+$T$62,
  $C303&lt;$Q$7,  $S$63*$C303+$T$63,
  $C303&lt;$Q$8, $S$64*$C303+$T$64,
  $C303&lt;$Q$9, $S$65*$C303+$T$65,
  $C303&lt;$Q$10, $S$66*$C303+$T$66,
  $C303&lt;$Q$11,  $S$67*$C303+$T$67,
  $C303&lt;$Q$12, $S$68*$C303+$T$68,
  $S$69*$C303+$T$69
)</f>
        <v>1.1000000000000001</v>
      </c>
      <c r="AE303" cm="1">
        <f t="array" ref="AE303">_xlfn.SWITCH(TRUE,
  $C303&lt;$Q$5,  $U$61*$C303+$V$61,
  $C303&lt;$Q$6,  $U$62*$C303+$V$62,
  $C303&lt;$Q$7,  $U$63*$C303+$V$63,
  $C303&lt;$Q$8, $U$64*$C303+$V$64,
  $C303&lt;$Q$9, $U$65*$C303+$V$65,
  $C303&lt;$Q$10, $U$66*$C303+$V$66,
  $C303&lt;$Q$11,  $U$67*$C303+$V$67,
  $C303&lt;$Q$12, $U$68*$C303+$V$68,
  $U$69*$C303+$V$69
)</f>
        <v>4</v>
      </c>
      <c r="AF303" cm="1">
        <f t="array" ref="AF303">_xlfn.LET(
  _xlpm.y,$C303,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3" cm="1">
        <f t="array" ref="AG303">_xlfn.LET(
  _xlpm.y,$C303,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3" cm="1">
        <f t="array" ref="AH303">_xlfn.LET(
  _xlpm.y,$C303,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3" cm="1">
        <f t="array" ref="AI303">_xlfn.LET(
  _xlpm.y,$C303,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3" cm="1">
        <f t="array" ref="AJ303">_xlfn.LET(
  _xlpm.y,$C303,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3">
        <f t="shared" si="27"/>
        <v>0</v>
      </c>
    </row>
    <row r="304" spans="2:41">
      <c r="B304">
        <f>'主翼(型紙出力)'!B147</f>
        <v>0</v>
      </c>
      <c r="C304">
        <f>'主翼(型紙出力)'!C147</f>
        <v>0</v>
      </c>
      <c r="D304">
        <f>'主翼(型紙出力)'!E147</f>
        <v>0</v>
      </c>
      <c r="E304">
        <f>'主翼(重量推算)'!CE144</f>
        <v>0</v>
      </c>
      <c r="F304" s="244" cm="1">
        <f t="array" ref="F304">_xlfn.SWITCH(TRUE,
  $C304&lt;$Q$5,  $S$22*$C304+$T$22,
  $C304&lt;$Q$6,  $S$23*$C304+$T$23,
  $C304&lt;$Q$7,  $S$24*$C304+$T$24,
  $C304&lt;$Q$8, $S$25*$C304+$T$25,
  $C304&lt;$Q$9, $S$26*$C304+$T$26,
  $C304&lt;$Q$10, $S$27*$C304+$T$27,
  $C304&lt;$Q$11,  $S$28*$C304+$T$28,
  $C304&lt;$Q$12, $S$29*$C304+$T$29,
  $S$30*$C304+$T$30
)</f>
        <v>1.1000000000000001</v>
      </c>
      <c r="G304" cm="1">
        <f t="array" ref="G304">_xlfn.SWITCH(TRUE,
  $C304&lt;$Q$5,  $U$22*$C304+$V$22,
  $C304&lt;$Q$6,  $U$23*$C304+$V$23,
  $C304&lt;$Q$7,  $U$24*$C304+$V$24,
  $C304&lt;$Q$8, $U$25*$C304+$V$25,
  $C304&lt;$Q$9, $U$26*$C304+$V$26,
  $C304&lt;$Q$10, $U$27*$C304+$V$27,
  $C304&lt;$Q$11,  $U$28*$C304+$V$28,
  $C304&lt;$Q$12, $U$29*$C304+$V$29,
  $U$30*$C304+$V$30
)</f>
        <v>3.4</v>
      </c>
      <c r="H304" cm="1">
        <f t="array" ref="H304">_xlfn.LET(
  _xlpm.y,$C304,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4" cm="1">
        <f t="array" ref="I304">_xlfn.LET(
  _xlpm.y,$C304,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4" cm="1">
        <f t="array" ref="J304">_xlfn.LET(
  _xlpm.y,$C304,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4" cm="1">
        <f t="array" ref="K304">_xlfn.LET(
  _xlpm.y,$C304,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4" cm="1">
        <f t="array" ref="L304">_xlfn.LET(
  _xlpm.y,$C304,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4" cm="1">
        <f t="array" ref="M304">_xlfn.SWITCH(TRUE,
  $C304&lt;$Q$5,  $D$22,
  $C304&lt;$Q$6,  $D$23,
  $C304&lt;$Q$7,  $D$24,
  $C304&lt;$Q$8,  $D$25,
  $C304&lt;$Q$9,  $D$26,
  $C304&lt;$Q$10,  $D$27,
  $C304&lt;$Q$11,  $D$28,
  $C304&lt;$Q$12,  $D$29,
  $C304&lt;$Q$13,  $D$30,
  $C304&lt;100,  $D$31,
)</f>
        <v>0</v>
      </c>
      <c r="Q304" s="129"/>
      <c r="R304" s="244" cm="1">
        <f t="array" ref="R304">_xlfn.SWITCH(TRUE,
  $C304&lt;$Q$5,  $S$41*$C304+$T$41,
  $C304&lt;$Q$6,  $S$42*$C304+$T$42,
  $C304&lt;$Q$7,  $S$43*$C304+$T$43,
  $C304&lt;$Q$8, $S$44*$C304+$T$44,
  $C304&lt;$Q$9, $S$45*$C304+$T$45,
  $C304&lt;$Q$10, $S$46*$C304+$T$46,
  $C304&lt;$Q$11,  $S$47*$C304+$T$47,
  $C304&lt;$Q$12, $S$48*$C304+$T$48,
  $S$49*$C304+$T$49
)</f>
        <v>1.1000000000000001</v>
      </c>
      <c r="S304" cm="1">
        <f t="array" ref="S304">_xlfn.SWITCH(TRUE,
  $C304&lt;$Q$5,  $U$41*$C304+$V$41,
  $C304&lt;$Q$6,  $U$42*$C304+$V$42,
  $C304&lt;$Q$7,  $U$43*$C304+$V$43,
  $C304&lt;$Q$8, $U$44*$C304+$V$44,
  $C304&lt;$Q$9, $U$45*$C304+$V$45,
  $C304&lt;$Q$10, $U$46*$C304+$V$46,
  $C304&lt;$Q$11,  $U$47*$C304+$V$47,
  $C304&lt;$Q$12, $U$48*$C304+$V$48,
  $U$49*$C304+$V$49
)</f>
        <v>3.8</v>
      </c>
      <c r="T304">
        <f t="shared" si="21"/>
        <v>1</v>
      </c>
      <c r="U304">
        <f t="shared" si="22"/>
        <v>0</v>
      </c>
      <c r="V304">
        <f t="shared" si="23"/>
        <v>0</v>
      </c>
      <c r="W304">
        <f t="shared" si="24"/>
        <v>0</v>
      </c>
      <c r="X304">
        <f t="shared" si="25"/>
        <v>0</v>
      </c>
      <c r="Y304">
        <f t="shared" si="26"/>
        <v>0</v>
      </c>
      <c r="Z304">
        <v>6.470437859775767E-2</v>
      </c>
      <c r="AA304">
        <v>5.4737782980879093</v>
      </c>
      <c r="AB304">
        <v>0</v>
      </c>
      <c r="AC304" s="129">
        <v>0</v>
      </c>
      <c r="AD304" s="244" cm="1">
        <f t="array" ref="AD304">_xlfn.SWITCH(TRUE,
  $C304&lt;$Q$5,  $S$61*$C304+$T$61,
  $C304&lt;$Q$6,  $S$62*$C304+$T$62,
  $C304&lt;$Q$7,  $S$63*$C304+$T$63,
  $C304&lt;$Q$8, $S$64*$C304+$T$64,
  $C304&lt;$Q$9, $S$65*$C304+$T$65,
  $C304&lt;$Q$10, $S$66*$C304+$T$66,
  $C304&lt;$Q$11,  $S$67*$C304+$T$67,
  $C304&lt;$Q$12, $S$68*$C304+$T$68,
  $S$69*$C304+$T$69
)</f>
        <v>1.1000000000000001</v>
      </c>
      <c r="AE304" cm="1">
        <f t="array" ref="AE304">_xlfn.SWITCH(TRUE,
  $C304&lt;$Q$5,  $U$61*$C304+$V$61,
  $C304&lt;$Q$6,  $U$62*$C304+$V$62,
  $C304&lt;$Q$7,  $U$63*$C304+$V$63,
  $C304&lt;$Q$8, $U$64*$C304+$V$64,
  $C304&lt;$Q$9, $U$65*$C304+$V$65,
  $C304&lt;$Q$10, $U$66*$C304+$V$66,
  $C304&lt;$Q$11,  $U$67*$C304+$V$67,
  $C304&lt;$Q$12, $U$68*$C304+$V$68,
  $U$69*$C304+$V$69
)</f>
        <v>4</v>
      </c>
      <c r="AF304" cm="1">
        <f t="array" ref="AF304">_xlfn.LET(
  _xlpm.y,$C304,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4" cm="1">
        <f t="array" ref="AG304">_xlfn.LET(
  _xlpm.y,$C304,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4" cm="1">
        <f t="array" ref="AH304">_xlfn.LET(
  _xlpm.y,$C304,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4" cm="1">
        <f t="array" ref="AI304">_xlfn.LET(
  _xlpm.y,$C304,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4" cm="1">
        <f t="array" ref="AJ304">_xlfn.LET(
  _xlpm.y,$C304,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4">
        <f t="shared" si="27"/>
        <v>0</v>
      </c>
    </row>
    <row r="305" spans="2:37">
      <c r="B305">
        <f>'主翼(型紙出力)'!B148</f>
        <v>0</v>
      </c>
      <c r="C305">
        <f>'主翼(型紙出力)'!C148</f>
        <v>0</v>
      </c>
      <c r="D305">
        <f>'主翼(型紙出力)'!E148</f>
        <v>0</v>
      </c>
      <c r="E305">
        <f>'主翼(重量推算)'!CE145</f>
        <v>0</v>
      </c>
      <c r="F305" s="244" cm="1">
        <f t="array" ref="F305">_xlfn.SWITCH(TRUE,
  $C305&lt;$Q$5,  $S$22*$C305+$T$22,
  $C305&lt;$Q$6,  $S$23*$C305+$T$23,
  $C305&lt;$Q$7,  $S$24*$C305+$T$24,
  $C305&lt;$Q$8, $S$25*$C305+$T$25,
  $C305&lt;$Q$9, $S$26*$C305+$T$26,
  $C305&lt;$Q$10, $S$27*$C305+$T$27,
  $C305&lt;$Q$11,  $S$28*$C305+$T$28,
  $C305&lt;$Q$12, $S$29*$C305+$T$29,
  $S$30*$C305+$T$30
)</f>
        <v>1.1000000000000001</v>
      </c>
      <c r="G305" cm="1">
        <f t="array" ref="G305">_xlfn.SWITCH(TRUE,
  $C305&lt;$Q$5,  $U$22*$C305+$V$22,
  $C305&lt;$Q$6,  $U$23*$C305+$V$23,
  $C305&lt;$Q$7,  $U$24*$C305+$V$24,
  $C305&lt;$Q$8, $U$25*$C305+$V$25,
  $C305&lt;$Q$9, $U$26*$C305+$V$26,
  $C305&lt;$Q$10, $U$27*$C305+$V$27,
  $C305&lt;$Q$11,  $U$28*$C305+$V$28,
  $C305&lt;$Q$12, $U$29*$C305+$V$29,
  $U$30*$C305+$V$30
)</f>
        <v>3.4</v>
      </c>
      <c r="H305" cm="1">
        <f t="array" ref="H305">_xlfn.LET(
  _xlpm.y,$C305,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5" cm="1">
        <f t="array" ref="I305">_xlfn.LET(
  _xlpm.y,$C305,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5" cm="1">
        <f t="array" ref="J305">_xlfn.LET(
  _xlpm.y,$C305,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5" cm="1">
        <f t="array" ref="K305">_xlfn.LET(
  _xlpm.y,$C305,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5" cm="1">
        <f t="array" ref="L305">_xlfn.LET(
  _xlpm.y,$C305,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5" cm="1">
        <f t="array" ref="M305">_xlfn.SWITCH(TRUE,
  $C305&lt;$Q$5,  $D$22,
  $C305&lt;$Q$6,  $D$23,
  $C305&lt;$Q$7,  $D$24,
  $C305&lt;$Q$8,  $D$25,
  $C305&lt;$Q$9,  $D$26,
  $C305&lt;$Q$10,  $D$27,
  $C305&lt;$Q$11,  $D$28,
  $C305&lt;$Q$12,  $D$29,
  $C305&lt;$Q$13,  $D$30,
  $C305&lt;100,  $D$31,
)</f>
        <v>0</v>
      </c>
      <c r="Q305" s="129"/>
      <c r="R305" s="244" cm="1">
        <f t="array" ref="R305">_xlfn.SWITCH(TRUE,
  $C305&lt;$Q$5,  $S$41*$C305+$T$41,
  $C305&lt;$Q$6,  $S$42*$C305+$T$42,
  $C305&lt;$Q$7,  $S$43*$C305+$T$43,
  $C305&lt;$Q$8, $S$44*$C305+$T$44,
  $C305&lt;$Q$9, $S$45*$C305+$T$45,
  $C305&lt;$Q$10, $S$46*$C305+$T$46,
  $C305&lt;$Q$11,  $S$47*$C305+$T$47,
  $C305&lt;$Q$12, $S$48*$C305+$T$48,
  $S$49*$C305+$T$49
)</f>
        <v>1.1000000000000001</v>
      </c>
      <c r="S305" cm="1">
        <f t="array" ref="S305">_xlfn.SWITCH(TRUE,
  $C305&lt;$Q$5,  $U$41*$C305+$V$41,
  $C305&lt;$Q$6,  $U$42*$C305+$V$42,
  $C305&lt;$Q$7,  $U$43*$C305+$V$43,
  $C305&lt;$Q$8, $U$44*$C305+$V$44,
  $C305&lt;$Q$9, $U$45*$C305+$V$45,
  $C305&lt;$Q$10, $U$46*$C305+$V$46,
  $C305&lt;$Q$11,  $U$47*$C305+$V$47,
  $C305&lt;$Q$12, $U$48*$C305+$V$48,
  $U$49*$C305+$V$49
)</f>
        <v>3.8</v>
      </c>
      <c r="T305">
        <f t="shared" si="21"/>
        <v>1</v>
      </c>
      <c r="U305">
        <f t="shared" si="22"/>
        <v>0</v>
      </c>
      <c r="V305">
        <f t="shared" si="23"/>
        <v>0</v>
      </c>
      <c r="W305">
        <f t="shared" si="24"/>
        <v>0</v>
      </c>
      <c r="X305">
        <f t="shared" si="25"/>
        <v>0</v>
      </c>
      <c r="Y305">
        <f t="shared" si="26"/>
        <v>0</v>
      </c>
      <c r="Z305">
        <v>6.470437859775767E-2</v>
      </c>
      <c r="AA305">
        <v>5.4737782980879093</v>
      </c>
      <c r="AB305">
        <v>0</v>
      </c>
      <c r="AC305" s="129">
        <v>0</v>
      </c>
      <c r="AD305" s="244" cm="1">
        <f t="array" ref="AD305">_xlfn.SWITCH(TRUE,
  $C305&lt;$Q$5,  $S$61*$C305+$T$61,
  $C305&lt;$Q$6,  $S$62*$C305+$T$62,
  $C305&lt;$Q$7,  $S$63*$C305+$T$63,
  $C305&lt;$Q$8, $S$64*$C305+$T$64,
  $C305&lt;$Q$9, $S$65*$C305+$T$65,
  $C305&lt;$Q$10, $S$66*$C305+$T$66,
  $C305&lt;$Q$11,  $S$67*$C305+$T$67,
  $C305&lt;$Q$12, $S$68*$C305+$T$68,
  $S$69*$C305+$T$69
)</f>
        <v>1.1000000000000001</v>
      </c>
      <c r="AE305" cm="1">
        <f t="array" ref="AE305">_xlfn.SWITCH(TRUE,
  $C305&lt;$Q$5,  $U$61*$C305+$V$61,
  $C305&lt;$Q$6,  $U$62*$C305+$V$62,
  $C305&lt;$Q$7,  $U$63*$C305+$V$63,
  $C305&lt;$Q$8, $U$64*$C305+$V$64,
  $C305&lt;$Q$9, $U$65*$C305+$V$65,
  $C305&lt;$Q$10, $U$66*$C305+$V$66,
  $C305&lt;$Q$11,  $U$67*$C305+$V$67,
  $C305&lt;$Q$12, $U$68*$C305+$V$68,
  $U$69*$C305+$V$69
)</f>
        <v>4</v>
      </c>
      <c r="AF305" cm="1">
        <f t="array" ref="AF305">_xlfn.LET(
  _xlpm.y,$C305,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5" cm="1">
        <f t="array" ref="AG305">_xlfn.LET(
  _xlpm.y,$C305,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5" cm="1">
        <f t="array" ref="AH305">_xlfn.LET(
  _xlpm.y,$C305,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5" cm="1">
        <f t="array" ref="AI305">_xlfn.LET(
  _xlpm.y,$C305,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5" cm="1">
        <f t="array" ref="AJ305">_xlfn.LET(
  _xlpm.y,$C305,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5">
        <f t="shared" si="27"/>
        <v>0</v>
      </c>
    </row>
    <row r="306" spans="2:37">
      <c r="B306">
        <f>'主翼(型紙出力)'!B149</f>
        <v>0</v>
      </c>
      <c r="C306">
        <f>'主翼(型紙出力)'!C149</f>
        <v>0</v>
      </c>
      <c r="D306">
        <f>'主翼(型紙出力)'!E149</f>
        <v>0</v>
      </c>
      <c r="E306">
        <f>'主翼(重量推算)'!CE146</f>
        <v>0</v>
      </c>
      <c r="F306" s="244" cm="1">
        <f t="array" ref="F306">_xlfn.SWITCH(TRUE,
  $C306&lt;$Q$5,  $S$22*$C306+$T$22,
  $C306&lt;$Q$6,  $S$23*$C306+$T$23,
  $C306&lt;$Q$7,  $S$24*$C306+$T$24,
  $C306&lt;$Q$8, $S$25*$C306+$T$25,
  $C306&lt;$Q$9, $S$26*$C306+$T$26,
  $C306&lt;$Q$10, $S$27*$C306+$T$27,
  $C306&lt;$Q$11,  $S$28*$C306+$T$28,
  $C306&lt;$Q$12, $S$29*$C306+$T$29,
  $S$30*$C306+$T$30
)</f>
        <v>1.1000000000000001</v>
      </c>
      <c r="G306" cm="1">
        <f t="array" ref="G306">_xlfn.SWITCH(TRUE,
  $C306&lt;$Q$5,  $U$22*$C306+$V$22,
  $C306&lt;$Q$6,  $U$23*$C306+$V$23,
  $C306&lt;$Q$7,  $U$24*$C306+$V$24,
  $C306&lt;$Q$8, $U$25*$C306+$V$25,
  $C306&lt;$Q$9, $U$26*$C306+$V$26,
  $C306&lt;$Q$10, $U$27*$C306+$V$27,
  $C306&lt;$Q$11,  $U$28*$C306+$V$28,
  $C306&lt;$Q$12, $U$29*$C306+$V$29,
  $U$30*$C306+$V$30
)</f>
        <v>3.4</v>
      </c>
      <c r="H306" cm="1">
        <f t="array" ref="H306">_xlfn.LET(
  _xlpm.y,$C306,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6" cm="1">
        <f t="array" ref="I306">_xlfn.LET(
  _xlpm.y,$C306,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6" cm="1">
        <f t="array" ref="J306">_xlfn.LET(
  _xlpm.y,$C306,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6" cm="1">
        <f t="array" ref="K306">_xlfn.LET(
  _xlpm.y,$C306,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6" cm="1">
        <f t="array" ref="L306">_xlfn.LET(
  _xlpm.y,$C306,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6" cm="1">
        <f t="array" ref="M306">_xlfn.SWITCH(TRUE,
  $C306&lt;$Q$5,  $D$22,
  $C306&lt;$Q$6,  $D$23,
  $C306&lt;$Q$7,  $D$24,
  $C306&lt;$Q$8,  $D$25,
  $C306&lt;$Q$9,  $D$26,
  $C306&lt;$Q$10,  $D$27,
  $C306&lt;$Q$11,  $D$28,
  $C306&lt;$Q$12,  $D$29,
  $C306&lt;$Q$13,  $D$30,
  $C306&lt;100,  $D$31,
)</f>
        <v>0</v>
      </c>
      <c r="Q306" s="129"/>
      <c r="R306" s="244" cm="1">
        <f t="array" ref="R306">_xlfn.SWITCH(TRUE,
  $C306&lt;$Q$5,  $S$41*$C306+$T$41,
  $C306&lt;$Q$6,  $S$42*$C306+$T$42,
  $C306&lt;$Q$7,  $S$43*$C306+$T$43,
  $C306&lt;$Q$8, $S$44*$C306+$T$44,
  $C306&lt;$Q$9, $S$45*$C306+$T$45,
  $C306&lt;$Q$10, $S$46*$C306+$T$46,
  $C306&lt;$Q$11,  $S$47*$C306+$T$47,
  $C306&lt;$Q$12, $S$48*$C306+$T$48,
  $S$49*$C306+$T$49
)</f>
        <v>1.1000000000000001</v>
      </c>
      <c r="S306" cm="1">
        <f t="array" ref="S306">_xlfn.SWITCH(TRUE,
  $C306&lt;$Q$5,  $U$41*$C306+$V$41,
  $C306&lt;$Q$6,  $U$42*$C306+$V$42,
  $C306&lt;$Q$7,  $U$43*$C306+$V$43,
  $C306&lt;$Q$8, $U$44*$C306+$V$44,
  $C306&lt;$Q$9, $U$45*$C306+$V$45,
  $C306&lt;$Q$10, $U$46*$C306+$V$46,
  $C306&lt;$Q$11,  $U$47*$C306+$V$47,
  $C306&lt;$Q$12, $U$48*$C306+$V$48,
  $U$49*$C306+$V$49
)</f>
        <v>3.8</v>
      </c>
      <c r="T306">
        <f t="shared" si="21"/>
        <v>1</v>
      </c>
      <c r="U306">
        <f t="shared" si="22"/>
        <v>0</v>
      </c>
      <c r="V306">
        <f t="shared" si="23"/>
        <v>0</v>
      </c>
      <c r="W306">
        <f t="shared" si="24"/>
        <v>0</v>
      </c>
      <c r="X306">
        <f t="shared" si="25"/>
        <v>0</v>
      </c>
      <c r="Y306">
        <f t="shared" si="26"/>
        <v>0</v>
      </c>
      <c r="Z306">
        <v>6.470437859775767E-2</v>
      </c>
      <c r="AA306">
        <v>5.4737782980879093</v>
      </c>
      <c r="AB306">
        <v>0</v>
      </c>
      <c r="AC306" s="129">
        <v>0</v>
      </c>
      <c r="AD306" s="244" cm="1">
        <f t="array" ref="AD306">_xlfn.SWITCH(TRUE,
  $C306&lt;$Q$5,  $S$61*$C306+$T$61,
  $C306&lt;$Q$6,  $S$62*$C306+$T$62,
  $C306&lt;$Q$7,  $S$63*$C306+$T$63,
  $C306&lt;$Q$8, $S$64*$C306+$T$64,
  $C306&lt;$Q$9, $S$65*$C306+$T$65,
  $C306&lt;$Q$10, $S$66*$C306+$T$66,
  $C306&lt;$Q$11,  $S$67*$C306+$T$67,
  $C306&lt;$Q$12, $S$68*$C306+$T$68,
  $S$69*$C306+$T$69
)</f>
        <v>1.1000000000000001</v>
      </c>
      <c r="AE306" cm="1">
        <f t="array" ref="AE306">_xlfn.SWITCH(TRUE,
  $C306&lt;$Q$5,  $U$61*$C306+$V$61,
  $C306&lt;$Q$6,  $U$62*$C306+$V$62,
  $C306&lt;$Q$7,  $U$63*$C306+$V$63,
  $C306&lt;$Q$8, $U$64*$C306+$V$64,
  $C306&lt;$Q$9, $U$65*$C306+$V$65,
  $C306&lt;$Q$10, $U$66*$C306+$V$66,
  $C306&lt;$Q$11,  $U$67*$C306+$V$67,
  $C306&lt;$Q$12, $U$68*$C306+$V$68,
  $U$69*$C306+$V$69
)</f>
        <v>4</v>
      </c>
      <c r="AF306" cm="1">
        <f t="array" ref="AF306">_xlfn.LET(
  _xlpm.y,$C306,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6" cm="1">
        <f t="array" ref="AG306">_xlfn.LET(
  _xlpm.y,$C306,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6" cm="1">
        <f t="array" ref="AH306">_xlfn.LET(
  _xlpm.y,$C306,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6" cm="1">
        <f t="array" ref="AI306">_xlfn.LET(
  _xlpm.y,$C306,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6" cm="1">
        <f t="array" ref="AJ306">_xlfn.LET(
  _xlpm.y,$C306,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6">
        <f t="shared" si="27"/>
        <v>0</v>
      </c>
    </row>
    <row r="307" spans="2:37">
      <c r="B307">
        <f>'主翼(型紙出力)'!B150</f>
        <v>0</v>
      </c>
      <c r="C307">
        <f>'主翼(型紙出力)'!C150</f>
        <v>0</v>
      </c>
      <c r="D307">
        <f>'主翼(型紙出力)'!E150</f>
        <v>0</v>
      </c>
      <c r="E307">
        <f>'主翼(重量推算)'!CE147</f>
        <v>0</v>
      </c>
      <c r="F307" s="244" cm="1">
        <f t="array" ref="F307">_xlfn.SWITCH(TRUE,
  $C307&lt;$Q$5,  $S$22*$C307+$T$22,
  $C307&lt;$Q$6,  $S$23*$C307+$T$23,
  $C307&lt;$Q$7,  $S$24*$C307+$T$24,
  $C307&lt;$Q$8, $S$25*$C307+$T$25,
  $C307&lt;$Q$9, $S$26*$C307+$T$26,
  $C307&lt;$Q$10, $S$27*$C307+$T$27,
  $C307&lt;$Q$11,  $S$28*$C307+$T$28,
  $C307&lt;$Q$12, $S$29*$C307+$T$29,
  $S$30*$C307+$T$30
)</f>
        <v>1.1000000000000001</v>
      </c>
      <c r="G307" cm="1">
        <f t="array" ref="G307">_xlfn.SWITCH(TRUE,
  $C307&lt;$Q$5,  $U$22*$C307+$V$22,
  $C307&lt;$Q$6,  $U$23*$C307+$V$23,
  $C307&lt;$Q$7,  $U$24*$C307+$V$24,
  $C307&lt;$Q$8, $U$25*$C307+$V$25,
  $C307&lt;$Q$9, $U$26*$C307+$V$26,
  $C307&lt;$Q$10, $U$27*$C307+$V$27,
  $C307&lt;$Q$11,  $U$28*$C307+$V$28,
  $C307&lt;$Q$12, $U$29*$C307+$V$29,
  $U$30*$C307+$V$30
)</f>
        <v>3.4</v>
      </c>
      <c r="H307" cm="1">
        <f t="array" ref="H307">_xlfn.LET(
  _xlpm.y,$C307,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7" cm="1">
        <f t="array" ref="I307">_xlfn.LET(
  _xlpm.y,$C307,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7" cm="1">
        <f t="array" ref="J307">_xlfn.LET(
  _xlpm.y,$C307,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7" cm="1">
        <f t="array" ref="K307">_xlfn.LET(
  _xlpm.y,$C307,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7" cm="1">
        <f t="array" ref="L307">_xlfn.LET(
  _xlpm.y,$C307,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7" cm="1">
        <f t="array" ref="M307">_xlfn.SWITCH(TRUE,
  $C307&lt;$Q$5,  $D$22,
  $C307&lt;$Q$6,  $D$23,
  $C307&lt;$Q$7,  $D$24,
  $C307&lt;$Q$8,  $D$25,
  $C307&lt;$Q$9,  $D$26,
  $C307&lt;$Q$10,  $D$27,
  $C307&lt;$Q$11,  $D$28,
  $C307&lt;$Q$12,  $D$29,
  $C307&lt;$Q$13,  $D$30,
  $C307&lt;100,  $D$31,
)</f>
        <v>0</v>
      </c>
      <c r="Q307" s="129"/>
      <c r="R307" s="244" cm="1">
        <f t="array" ref="R307">_xlfn.SWITCH(TRUE,
  $C307&lt;$Q$5,  $S$41*$C307+$T$41,
  $C307&lt;$Q$6,  $S$42*$C307+$T$42,
  $C307&lt;$Q$7,  $S$43*$C307+$T$43,
  $C307&lt;$Q$8, $S$44*$C307+$T$44,
  $C307&lt;$Q$9, $S$45*$C307+$T$45,
  $C307&lt;$Q$10, $S$46*$C307+$T$46,
  $C307&lt;$Q$11,  $S$47*$C307+$T$47,
  $C307&lt;$Q$12, $S$48*$C307+$T$48,
  $S$49*$C307+$T$49
)</f>
        <v>1.1000000000000001</v>
      </c>
      <c r="S307" cm="1">
        <f t="array" ref="S307">_xlfn.SWITCH(TRUE,
  $C307&lt;$Q$5,  $U$41*$C307+$V$41,
  $C307&lt;$Q$6,  $U$42*$C307+$V$42,
  $C307&lt;$Q$7,  $U$43*$C307+$V$43,
  $C307&lt;$Q$8, $U$44*$C307+$V$44,
  $C307&lt;$Q$9, $U$45*$C307+$V$45,
  $C307&lt;$Q$10, $U$46*$C307+$V$46,
  $C307&lt;$Q$11,  $U$47*$C307+$V$47,
  $C307&lt;$Q$12, $U$48*$C307+$V$48,
  $U$49*$C307+$V$49
)</f>
        <v>3.8</v>
      </c>
      <c r="T307">
        <f t="shared" si="21"/>
        <v>1</v>
      </c>
      <c r="U307">
        <f t="shared" si="22"/>
        <v>0</v>
      </c>
      <c r="V307">
        <f t="shared" si="23"/>
        <v>0</v>
      </c>
      <c r="W307">
        <f t="shared" si="24"/>
        <v>0</v>
      </c>
      <c r="X307">
        <f t="shared" si="25"/>
        <v>0</v>
      </c>
      <c r="Y307">
        <f t="shared" si="26"/>
        <v>0</v>
      </c>
      <c r="Z307">
        <v>6.470437859775767E-2</v>
      </c>
      <c r="AA307">
        <v>5.4737782980879093</v>
      </c>
      <c r="AB307">
        <v>0</v>
      </c>
      <c r="AC307" s="129">
        <v>0</v>
      </c>
      <c r="AD307" s="244" cm="1">
        <f t="array" ref="AD307">_xlfn.SWITCH(TRUE,
  $C307&lt;$Q$5,  $S$61*$C307+$T$61,
  $C307&lt;$Q$6,  $S$62*$C307+$T$62,
  $C307&lt;$Q$7,  $S$63*$C307+$T$63,
  $C307&lt;$Q$8, $S$64*$C307+$T$64,
  $C307&lt;$Q$9, $S$65*$C307+$T$65,
  $C307&lt;$Q$10, $S$66*$C307+$T$66,
  $C307&lt;$Q$11,  $S$67*$C307+$T$67,
  $C307&lt;$Q$12, $S$68*$C307+$T$68,
  $S$69*$C307+$T$69
)</f>
        <v>1.1000000000000001</v>
      </c>
      <c r="AE307" cm="1">
        <f t="array" ref="AE307">_xlfn.SWITCH(TRUE,
  $C307&lt;$Q$5,  $U$61*$C307+$V$61,
  $C307&lt;$Q$6,  $U$62*$C307+$V$62,
  $C307&lt;$Q$7,  $U$63*$C307+$V$63,
  $C307&lt;$Q$8, $U$64*$C307+$V$64,
  $C307&lt;$Q$9, $U$65*$C307+$V$65,
  $C307&lt;$Q$10, $U$66*$C307+$V$66,
  $C307&lt;$Q$11,  $U$67*$C307+$V$67,
  $C307&lt;$Q$12, $U$68*$C307+$V$68,
  $U$69*$C307+$V$69
)</f>
        <v>4</v>
      </c>
      <c r="AF307" cm="1">
        <f t="array" ref="AF307">_xlfn.LET(
  _xlpm.y,$C307,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7" cm="1">
        <f t="array" ref="AG307">_xlfn.LET(
  _xlpm.y,$C307,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7" cm="1">
        <f t="array" ref="AH307">_xlfn.LET(
  _xlpm.y,$C307,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7" cm="1">
        <f t="array" ref="AI307">_xlfn.LET(
  _xlpm.y,$C307,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7" cm="1">
        <f t="array" ref="AJ307">_xlfn.LET(
  _xlpm.y,$C307,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7">
        <f t="shared" si="27"/>
        <v>0</v>
      </c>
    </row>
    <row r="308" spans="2:37">
      <c r="B308">
        <f>'主翼(型紙出力)'!B151</f>
        <v>0</v>
      </c>
      <c r="C308">
        <f>'主翼(型紙出力)'!C151</f>
        <v>0</v>
      </c>
      <c r="D308">
        <f>'主翼(型紙出力)'!E151</f>
        <v>0</v>
      </c>
      <c r="E308">
        <f>'主翼(重量推算)'!CE148</f>
        <v>0</v>
      </c>
      <c r="F308" s="244" cm="1">
        <f t="array" ref="F308">_xlfn.SWITCH(TRUE,
  $C308&lt;$Q$5,  $S$22*$C308+$T$22,
  $C308&lt;$Q$6,  $S$23*$C308+$T$23,
  $C308&lt;$Q$7,  $S$24*$C308+$T$24,
  $C308&lt;$Q$8, $S$25*$C308+$T$25,
  $C308&lt;$Q$9, $S$26*$C308+$T$26,
  $C308&lt;$Q$10, $S$27*$C308+$T$27,
  $C308&lt;$Q$11,  $S$28*$C308+$T$28,
  $C308&lt;$Q$12, $S$29*$C308+$T$29,
  $S$30*$C308+$T$30
)</f>
        <v>1.1000000000000001</v>
      </c>
      <c r="G308" cm="1">
        <f t="array" ref="G308">_xlfn.SWITCH(TRUE,
  $C308&lt;$Q$5,  $U$22*$C308+$V$22,
  $C308&lt;$Q$6,  $U$23*$C308+$V$23,
  $C308&lt;$Q$7,  $U$24*$C308+$V$24,
  $C308&lt;$Q$8, $U$25*$C308+$V$25,
  $C308&lt;$Q$9, $U$26*$C308+$V$26,
  $C308&lt;$Q$10, $U$27*$C308+$V$27,
  $C308&lt;$Q$11,  $U$28*$C308+$V$28,
  $C308&lt;$Q$12, $U$29*$C308+$V$29,
  $U$30*$C308+$V$30
)</f>
        <v>3.4</v>
      </c>
      <c r="H308" cm="1">
        <f t="array" ref="H308">_xlfn.LET(
  _xlpm.y,$C308,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8" cm="1">
        <f t="array" ref="I308">_xlfn.LET(
  _xlpm.y,$C308,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8" cm="1">
        <f t="array" ref="J308">_xlfn.LET(
  _xlpm.y,$C308,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8" cm="1">
        <f t="array" ref="K308">_xlfn.LET(
  _xlpm.y,$C308,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8" cm="1">
        <f t="array" ref="L308">_xlfn.LET(
  _xlpm.y,$C308,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8" cm="1">
        <f t="array" ref="M308">_xlfn.SWITCH(TRUE,
  $C308&lt;$Q$5,  $D$22,
  $C308&lt;$Q$6,  $D$23,
  $C308&lt;$Q$7,  $D$24,
  $C308&lt;$Q$8,  $D$25,
  $C308&lt;$Q$9,  $D$26,
  $C308&lt;$Q$10,  $D$27,
  $C308&lt;$Q$11,  $D$28,
  $C308&lt;$Q$12,  $D$29,
  $C308&lt;$Q$13,  $D$30,
  $C308&lt;100,  $D$31,
)</f>
        <v>0</v>
      </c>
      <c r="Q308" s="129"/>
      <c r="R308" s="244" cm="1">
        <f t="array" ref="R308">_xlfn.SWITCH(TRUE,
  $C308&lt;$Q$5,  $S$41*$C308+$T$41,
  $C308&lt;$Q$6,  $S$42*$C308+$T$42,
  $C308&lt;$Q$7,  $S$43*$C308+$T$43,
  $C308&lt;$Q$8, $S$44*$C308+$T$44,
  $C308&lt;$Q$9, $S$45*$C308+$T$45,
  $C308&lt;$Q$10, $S$46*$C308+$T$46,
  $C308&lt;$Q$11,  $S$47*$C308+$T$47,
  $C308&lt;$Q$12, $S$48*$C308+$T$48,
  $S$49*$C308+$T$49
)</f>
        <v>1.1000000000000001</v>
      </c>
      <c r="S308" cm="1">
        <f t="array" ref="S308">_xlfn.SWITCH(TRUE,
  $C308&lt;$Q$5,  $U$41*$C308+$V$41,
  $C308&lt;$Q$6,  $U$42*$C308+$V$42,
  $C308&lt;$Q$7,  $U$43*$C308+$V$43,
  $C308&lt;$Q$8, $U$44*$C308+$V$44,
  $C308&lt;$Q$9, $U$45*$C308+$V$45,
  $C308&lt;$Q$10, $U$46*$C308+$V$46,
  $C308&lt;$Q$11,  $U$47*$C308+$V$47,
  $C308&lt;$Q$12, $U$48*$C308+$V$48,
  $U$49*$C308+$V$49
)</f>
        <v>3.8</v>
      </c>
      <c r="T308">
        <f t="shared" si="21"/>
        <v>1</v>
      </c>
      <c r="U308">
        <f t="shared" si="22"/>
        <v>0</v>
      </c>
      <c r="V308">
        <f t="shared" si="23"/>
        <v>0</v>
      </c>
      <c r="W308">
        <f t="shared" si="24"/>
        <v>0</v>
      </c>
      <c r="X308">
        <f t="shared" si="25"/>
        <v>0</v>
      </c>
      <c r="Y308">
        <f t="shared" si="26"/>
        <v>0</v>
      </c>
      <c r="Z308">
        <v>6.470437859775767E-2</v>
      </c>
      <c r="AA308">
        <v>5.4737782980879093</v>
      </c>
      <c r="AB308">
        <v>0</v>
      </c>
      <c r="AC308" s="129">
        <v>0</v>
      </c>
      <c r="AD308" s="244" cm="1">
        <f t="array" ref="AD308">_xlfn.SWITCH(TRUE,
  $C308&lt;$Q$5,  $S$61*$C308+$T$61,
  $C308&lt;$Q$6,  $S$62*$C308+$T$62,
  $C308&lt;$Q$7,  $S$63*$C308+$T$63,
  $C308&lt;$Q$8, $S$64*$C308+$T$64,
  $C308&lt;$Q$9, $S$65*$C308+$T$65,
  $C308&lt;$Q$10, $S$66*$C308+$T$66,
  $C308&lt;$Q$11,  $S$67*$C308+$T$67,
  $C308&lt;$Q$12, $S$68*$C308+$T$68,
  $S$69*$C308+$T$69
)</f>
        <v>1.1000000000000001</v>
      </c>
      <c r="AE308" cm="1">
        <f t="array" ref="AE308">_xlfn.SWITCH(TRUE,
  $C308&lt;$Q$5,  $U$61*$C308+$V$61,
  $C308&lt;$Q$6,  $U$62*$C308+$V$62,
  $C308&lt;$Q$7,  $U$63*$C308+$V$63,
  $C308&lt;$Q$8, $U$64*$C308+$V$64,
  $C308&lt;$Q$9, $U$65*$C308+$V$65,
  $C308&lt;$Q$10, $U$66*$C308+$V$66,
  $C308&lt;$Q$11,  $U$67*$C308+$V$67,
  $C308&lt;$Q$12, $U$68*$C308+$V$68,
  $U$69*$C308+$V$69
)</f>
        <v>4</v>
      </c>
      <c r="AF308" cm="1">
        <f t="array" ref="AF308">_xlfn.LET(
  _xlpm.y,$C308,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8" cm="1">
        <f t="array" ref="AG308">_xlfn.LET(
  _xlpm.y,$C308,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8" cm="1">
        <f t="array" ref="AH308">_xlfn.LET(
  _xlpm.y,$C308,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8" cm="1">
        <f t="array" ref="AI308">_xlfn.LET(
  _xlpm.y,$C308,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8" cm="1">
        <f t="array" ref="AJ308">_xlfn.LET(
  _xlpm.y,$C308,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8">
        <f t="shared" si="27"/>
        <v>0</v>
      </c>
    </row>
    <row r="309" spans="2:37">
      <c r="B309">
        <f>'主翼(型紙出力)'!B152</f>
        <v>0</v>
      </c>
      <c r="C309">
        <f>'主翼(型紙出力)'!C152</f>
        <v>0</v>
      </c>
      <c r="D309">
        <f>'主翼(型紙出力)'!E152</f>
        <v>0</v>
      </c>
      <c r="E309">
        <f>'主翼(重量推算)'!CE149</f>
        <v>0</v>
      </c>
      <c r="F309" s="244" cm="1">
        <f t="array" ref="F309">_xlfn.SWITCH(TRUE,
  $C309&lt;$Q$5,  $S$22*$C309+$T$22,
  $C309&lt;$Q$6,  $S$23*$C309+$T$23,
  $C309&lt;$Q$7,  $S$24*$C309+$T$24,
  $C309&lt;$Q$8, $S$25*$C309+$T$25,
  $C309&lt;$Q$9, $S$26*$C309+$T$26,
  $C309&lt;$Q$10, $S$27*$C309+$T$27,
  $C309&lt;$Q$11,  $S$28*$C309+$T$28,
  $C309&lt;$Q$12, $S$29*$C309+$T$29,
  $S$30*$C309+$T$30
)</f>
        <v>1.1000000000000001</v>
      </c>
      <c r="G309" cm="1">
        <f t="array" ref="G309">_xlfn.SWITCH(TRUE,
  $C309&lt;$Q$5,  $U$22*$C309+$V$22,
  $C309&lt;$Q$6,  $U$23*$C309+$V$23,
  $C309&lt;$Q$7,  $U$24*$C309+$V$24,
  $C309&lt;$Q$8, $U$25*$C309+$V$25,
  $C309&lt;$Q$9, $U$26*$C309+$V$26,
  $C309&lt;$Q$10, $U$27*$C309+$V$27,
  $C309&lt;$Q$11,  $U$28*$C309+$V$28,
  $C309&lt;$Q$12, $U$29*$C309+$V$29,
  $U$30*$C309+$V$30
)</f>
        <v>3.4</v>
      </c>
      <c r="H309" cm="1">
        <f t="array" ref="H309">_xlfn.LET(
  _xlpm.y,$C309,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9" cm="1">
        <f t="array" ref="I309">_xlfn.LET(
  _xlpm.y,$C309,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9" cm="1">
        <f t="array" ref="J309">_xlfn.LET(
  _xlpm.y,$C309,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9" cm="1">
        <f t="array" ref="K309">_xlfn.LET(
  _xlpm.y,$C309,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9" cm="1">
        <f t="array" ref="L309">_xlfn.LET(
  _xlpm.y,$C309,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9" cm="1">
        <f t="array" ref="M309">_xlfn.SWITCH(TRUE,
  $C309&lt;$Q$5,  $D$22,
  $C309&lt;$Q$6,  $D$23,
  $C309&lt;$Q$7,  $D$24,
  $C309&lt;$Q$8,  $D$25,
  $C309&lt;$Q$9,  $D$26,
  $C309&lt;$Q$10,  $D$27,
  $C309&lt;$Q$11,  $D$28,
  $C309&lt;$Q$12,  $D$29,
  $C309&lt;$Q$13,  $D$30,
  $C309&lt;100,  $D$31,
)</f>
        <v>0</v>
      </c>
      <c r="Q309" s="129"/>
      <c r="R309" s="244" cm="1">
        <f t="array" ref="R309">_xlfn.SWITCH(TRUE,
  $C309&lt;$Q$5,  $S$41*$C309+$T$41,
  $C309&lt;$Q$6,  $S$42*$C309+$T$42,
  $C309&lt;$Q$7,  $S$43*$C309+$T$43,
  $C309&lt;$Q$8, $S$44*$C309+$T$44,
  $C309&lt;$Q$9, $S$45*$C309+$T$45,
  $C309&lt;$Q$10, $S$46*$C309+$T$46,
  $C309&lt;$Q$11,  $S$47*$C309+$T$47,
  $C309&lt;$Q$12, $S$48*$C309+$T$48,
  $S$49*$C309+$T$49
)</f>
        <v>1.1000000000000001</v>
      </c>
      <c r="S309" cm="1">
        <f t="array" ref="S309">_xlfn.SWITCH(TRUE,
  $C309&lt;$Q$5,  $U$41*$C309+$V$41,
  $C309&lt;$Q$6,  $U$42*$C309+$V$42,
  $C309&lt;$Q$7,  $U$43*$C309+$V$43,
  $C309&lt;$Q$8, $U$44*$C309+$V$44,
  $C309&lt;$Q$9, $U$45*$C309+$V$45,
  $C309&lt;$Q$10, $U$46*$C309+$V$46,
  $C309&lt;$Q$11,  $U$47*$C309+$V$47,
  $C309&lt;$Q$12, $U$48*$C309+$V$48,
  $U$49*$C309+$V$49
)</f>
        <v>3.8</v>
      </c>
      <c r="T309">
        <f t="shared" si="21"/>
        <v>1</v>
      </c>
      <c r="U309">
        <f t="shared" si="22"/>
        <v>0</v>
      </c>
      <c r="V309">
        <f t="shared" si="23"/>
        <v>0</v>
      </c>
      <c r="W309">
        <f t="shared" si="24"/>
        <v>0</v>
      </c>
      <c r="X309">
        <f t="shared" si="25"/>
        <v>0</v>
      </c>
      <c r="Y309">
        <f t="shared" si="26"/>
        <v>0</v>
      </c>
      <c r="Z309">
        <v>6.470437859775767E-2</v>
      </c>
      <c r="AA309">
        <v>5.4737782980879093</v>
      </c>
      <c r="AB309">
        <v>0</v>
      </c>
      <c r="AC309" s="129">
        <v>0</v>
      </c>
      <c r="AD309" s="244" cm="1">
        <f t="array" ref="AD309">_xlfn.SWITCH(TRUE,
  $C309&lt;$Q$5,  $S$61*$C309+$T$61,
  $C309&lt;$Q$6,  $S$62*$C309+$T$62,
  $C309&lt;$Q$7,  $S$63*$C309+$T$63,
  $C309&lt;$Q$8, $S$64*$C309+$T$64,
  $C309&lt;$Q$9, $S$65*$C309+$T$65,
  $C309&lt;$Q$10, $S$66*$C309+$T$66,
  $C309&lt;$Q$11,  $S$67*$C309+$T$67,
  $C309&lt;$Q$12, $S$68*$C309+$T$68,
  $S$69*$C309+$T$69
)</f>
        <v>1.1000000000000001</v>
      </c>
      <c r="AE309" cm="1">
        <f t="array" ref="AE309">_xlfn.SWITCH(TRUE,
  $C309&lt;$Q$5,  $U$61*$C309+$V$61,
  $C309&lt;$Q$6,  $U$62*$C309+$V$62,
  $C309&lt;$Q$7,  $U$63*$C309+$V$63,
  $C309&lt;$Q$8, $U$64*$C309+$V$64,
  $C309&lt;$Q$9, $U$65*$C309+$V$65,
  $C309&lt;$Q$10, $U$66*$C309+$V$66,
  $C309&lt;$Q$11,  $U$67*$C309+$V$67,
  $C309&lt;$Q$12, $U$68*$C309+$V$68,
  $U$69*$C309+$V$69
)</f>
        <v>4</v>
      </c>
      <c r="AF309" cm="1">
        <f t="array" ref="AF309">_xlfn.LET(
  _xlpm.y,$C309,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9" cm="1">
        <f t="array" ref="AG309">_xlfn.LET(
  _xlpm.y,$C309,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9" cm="1">
        <f t="array" ref="AH309">_xlfn.LET(
  _xlpm.y,$C309,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9" cm="1">
        <f t="array" ref="AI309">_xlfn.LET(
  _xlpm.y,$C309,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9" cm="1">
        <f t="array" ref="AJ309">_xlfn.LET(
  _xlpm.y,$C309,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9">
        <f t="shared" si="27"/>
        <v>0</v>
      </c>
    </row>
    <row r="310" spans="2:37">
      <c r="B310">
        <f>'主翼(型紙出力)'!B153</f>
        <v>0</v>
      </c>
      <c r="C310">
        <f>'主翼(型紙出力)'!C153</f>
        <v>0</v>
      </c>
      <c r="D310">
        <f>'主翼(型紙出力)'!E153</f>
        <v>0</v>
      </c>
      <c r="E310">
        <f>'主翼(重量推算)'!CE150</f>
        <v>0</v>
      </c>
      <c r="F310" s="244" cm="1">
        <f t="array" ref="F310">_xlfn.SWITCH(TRUE,
  $C310&lt;$Q$5,  $S$22*$C310+$T$22,
  $C310&lt;$Q$6,  $S$23*$C310+$T$23,
  $C310&lt;$Q$7,  $S$24*$C310+$T$24,
  $C310&lt;$Q$8, $S$25*$C310+$T$25,
  $C310&lt;$Q$9, $S$26*$C310+$T$26,
  $C310&lt;$Q$10, $S$27*$C310+$T$27,
  $C310&lt;$Q$11,  $S$28*$C310+$T$28,
  $C310&lt;$Q$12, $S$29*$C310+$T$29,
  $S$30*$C310+$T$30
)</f>
        <v>1.1000000000000001</v>
      </c>
      <c r="G310" cm="1">
        <f t="array" ref="G310">_xlfn.SWITCH(TRUE,
  $C310&lt;$Q$5,  $U$22*$C310+$V$22,
  $C310&lt;$Q$6,  $U$23*$C310+$V$23,
  $C310&lt;$Q$7,  $U$24*$C310+$V$24,
  $C310&lt;$Q$8, $U$25*$C310+$V$25,
  $C310&lt;$Q$9, $U$26*$C310+$V$26,
  $C310&lt;$Q$10, $U$27*$C310+$V$27,
  $C310&lt;$Q$11,  $U$28*$C310+$V$28,
  $C310&lt;$Q$12, $U$29*$C310+$V$29,
  $U$30*$C310+$V$30
)</f>
        <v>3.4</v>
      </c>
      <c r="H310" cm="1">
        <f t="array" ref="H310">_xlfn.LET(
  _xlpm.y,$C310,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0" cm="1">
        <f t="array" ref="I310">_xlfn.LET(
  _xlpm.y,$C310,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0" cm="1">
        <f t="array" ref="J310">_xlfn.LET(
  _xlpm.y,$C310,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0" cm="1">
        <f t="array" ref="K310">_xlfn.LET(
  _xlpm.y,$C310,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0" cm="1">
        <f t="array" ref="L310">_xlfn.LET(
  _xlpm.y,$C310,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0" cm="1">
        <f t="array" ref="M310">_xlfn.SWITCH(TRUE,
  $C310&lt;$Q$5,  $D$22,
  $C310&lt;$Q$6,  $D$23,
  $C310&lt;$Q$7,  $D$24,
  $C310&lt;$Q$8,  $D$25,
  $C310&lt;$Q$9,  $D$26,
  $C310&lt;$Q$10,  $D$27,
  $C310&lt;$Q$11,  $D$28,
  $C310&lt;$Q$12,  $D$29,
  $C310&lt;$Q$13,  $D$30,
  $C310&lt;100,  $D$31,
)</f>
        <v>0</v>
      </c>
      <c r="Q310" s="129"/>
      <c r="R310" s="244" cm="1">
        <f t="array" ref="R310">_xlfn.SWITCH(TRUE,
  $C310&lt;$Q$5,  $S$41*$C310+$T$41,
  $C310&lt;$Q$6,  $S$42*$C310+$T$42,
  $C310&lt;$Q$7,  $S$43*$C310+$T$43,
  $C310&lt;$Q$8, $S$44*$C310+$T$44,
  $C310&lt;$Q$9, $S$45*$C310+$T$45,
  $C310&lt;$Q$10, $S$46*$C310+$T$46,
  $C310&lt;$Q$11,  $S$47*$C310+$T$47,
  $C310&lt;$Q$12, $S$48*$C310+$T$48,
  $S$49*$C310+$T$49
)</f>
        <v>1.1000000000000001</v>
      </c>
      <c r="S310" cm="1">
        <f t="array" ref="S310">_xlfn.SWITCH(TRUE,
  $C310&lt;$Q$5,  $U$41*$C310+$V$41,
  $C310&lt;$Q$6,  $U$42*$C310+$V$42,
  $C310&lt;$Q$7,  $U$43*$C310+$V$43,
  $C310&lt;$Q$8, $U$44*$C310+$V$44,
  $C310&lt;$Q$9, $U$45*$C310+$V$45,
  $C310&lt;$Q$10, $U$46*$C310+$V$46,
  $C310&lt;$Q$11,  $U$47*$C310+$V$47,
  $C310&lt;$Q$12, $U$48*$C310+$V$48,
  $U$49*$C310+$V$49
)</f>
        <v>3.8</v>
      </c>
      <c r="T310">
        <f t="shared" si="21"/>
        <v>1</v>
      </c>
      <c r="U310">
        <f t="shared" si="22"/>
        <v>0</v>
      </c>
      <c r="V310">
        <f t="shared" si="23"/>
        <v>0</v>
      </c>
      <c r="W310">
        <f t="shared" si="24"/>
        <v>0</v>
      </c>
      <c r="X310">
        <f t="shared" si="25"/>
        <v>0</v>
      </c>
      <c r="Y310">
        <f t="shared" si="26"/>
        <v>0</v>
      </c>
      <c r="Z310">
        <v>6.470437859775767E-2</v>
      </c>
      <c r="AA310">
        <v>5.4737782980879093</v>
      </c>
      <c r="AB310">
        <v>0</v>
      </c>
      <c r="AC310" s="129">
        <v>0</v>
      </c>
      <c r="AE310" cm="1">
        <f t="array" ref="AE310">_xlfn.SWITCH(TRUE,
  $C310&lt;$Q$5,  $U$61*$C310+$V$61,
  $C310&lt;$Q$6,  $U$62*$C310+$V$62,
  $C310&lt;$Q$7,  $U$63*$C310+$V$63,
  $C310&lt;$Q$8, $U$64*$C310+$V$64,
  $C310&lt;$Q$9, $U$65*$C310+$V$65,
  $C310&lt;$Q$10, $U$66*$C310+$V$66,
  $C310&lt;$Q$11,  $U$67*$C310+$V$67,
  $C310&lt;$Q$12, $U$68*$C310+$V$68,
  $U$69*$C310+$V$69
)</f>
        <v>4</v>
      </c>
      <c r="AF310" cm="1">
        <f t="array" ref="AF310">_xlfn.LET(
  _xlpm.y,$C310,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0" cm="1">
        <f t="array" ref="AG310">_xlfn.LET(
  _xlpm.y,$C310,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0" cm="1">
        <f t="array" ref="AH310">_xlfn.LET(
  _xlpm.y,$C310,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0" cm="1">
        <f t="array" ref="AI310">_xlfn.LET(
  _xlpm.y,$C310,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0" cm="1">
        <f t="array" ref="AJ310">_xlfn.LET(
  _xlpm.y,$C310,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0">
        <f t="shared" si="27"/>
        <v>0</v>
      </c>
    </row>
    <row r="311" spans="2:37">
      <c r="B311">
        <f>'主翼(型紙出力)'!B154</f>
        <v>0</v>
      </c>
      <c r="C311">
        <f>'主翼(型紙出力)'!C154</f>
        <v>0</v>
      </c>
      <c r="D311">
        <f>'主翼(型紙出力)'!E154</f>
        <v>0</v>
      </c>
      <c r="E311">
        <f>'主翼(重量推算)'!CE151</f>
        <v>0</v>
      </c>
      <c r="F311" s="244" cm="1">
        <f t="array" ref="F311">_xlfn.SWITCH(TRUE,
  $C311&lt;$Q$5,  $S$22*$C311+$T$22,
  $C311&lt;$Q$6,  $S$23*$C311+$T$23,
  $C311&lt;$Q$7,  $S$24*$C311+$T$24,
  $C311&lt;$Q$8, $S$25*$C311+$T$25,
  $C311&lt;$Q$9, $S$26*$C311+$T$26,
  $C311&lt;$Q$10, $S$27*$C311+$T$27,
  $C311&lt;$Q$11,  $S$28*$C311+$T$28,
  $C311&lt;$Q$12, $S$29*$C311+$T$29,
  $S$30*$C311+$T$30
)</f>
        <v>1.1000000000000001</v>
      </c>
      <c r="G311" cm="1">
        <f t="array" ref="G311">_xlfn.SWITCH(TRUE,
  $C311&lt;$Q$5,  $U$22*$C311+$V$22,
  $C311&lt;$Q$6,  $U$23*$C311+$V$23,
  $C311&lt;$Q$7,  $U$24*$C311+$V$24,
  $C311&lt;$Q$8, $U$25*$C311+$V$25,
  $C311&lt;$Q$9, $U$26*$C311+$V$26,
  $C311&lt;$Q$10, $U$27*$C311+$V$27,
  $C311&lt;$Q$11,  $U$28*$C311+$V$28,
  $C311&lt;$Q$12, $U$29*$C311+$V$29,
  $U$30*$C311+$V$30
)</f>
        <v>3.4</v>
      </c>
      <c r="H311" cm="1">
        <f t="array" ref="H311">_xlfn.LET(
  _xlpm.y,$C311,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1" cm="1">
        <f t="array" ref="I311">_xlfn.LET(
  _xlpm.y,$C311,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1" cm="1">
        <f t="array" ref="J311">_xlfn.LET(
  _xlpm.y,$C311,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1" cm="1">
        <f t="array" ref="K311">_xlfn.LET(
  _xlpm.y,$C311,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1" cm="1">
        <f t="array" ref="L311">_xlfn.LET(
  _xlpm.y,$C311,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1" cm="1">
        <f t="array" ref="M311">_xlfn.SWITCH(TRUE,
  $C311&lt;$Q$5,  $D$22,
  $C311&lt;$Q$6,  $D$23,
  $C311&lt;$Q$7,  $D$24,
  $C311&lt;$Q$8,  $D$25,
  $C311&lt;$Q$9,  $D$26,
  $C311&lt;$Q$10,  $D$27,
  $C311&lt;$Q$11,  $D$28,
  $C311&lt;$Q$12,  $D$29,
  $C311&lt;$Q$13,  $D$30,
  $C311&lt;100,  $D$31,
)</f>
        <v>0</v>
      </c>
      <c r="Q311" s="129"/>
      <c r="R311" s="244" cm="1">
        <f t="array" ref="R311">_xlfn.SWITCH(TRUE,
  $C311&lt;$Q$5,  $S$41*$C311+$T$41,
  $C311&lt;$Q$6,  $S$42*$C311+$T$42,
  $C311&lt;$Q$7,  $S$43*$C311+$T$43,
  $C311&lt;$Q$8, $S$44*$C311+$T$44,
  $C311&lt;$Q$9, $S$45*$C311+$T$45,
  $C311&lt;$Q$10, $S$46*$C311+$T$46,
  $C311&lt;$Q$11,  $S$47*$C311+$T$47,
  $C311&lt;$Q$12, $S$48*$C311+$T$48,
  $S$49*$C311+$T$49
)</f>
        <v>1.1000000000000001</v>
      </c>
      <c r="S311" cm="1">
        <f t="array" ref="S311">_xlfn.SWITCH(TRUE,
  $C311&lt;$Q$5,  $U$41*$C311+$V$41,
  $C311&lt;$Q$6,  $U$42*$C311+$V$42,
  $C311&lt;$Q$7,  $U$43*$C311+$V$43,
  $C311&lt;$Q$8, $U$44*$C311+$V$44,
  $C311&lt;$Q$9, $U$45*$C311+$V$45,
  $C311&lt;$Q$10, $U$46*$C311+$V$46,
  $C311&lt;$Q$11,  $U$47*$C311+$V$47,
  $C311&lt;$Q$12, $U$48*$C311+$V$48,
  $U$49*$C311+$V$49
)</f>
        <v>3.8</v>
      </c>
      <c r="T311">
        <f t="shared" si="21"/>
        <v>1</v>
      </c>
      <c r="U311">
        <f t="shared" si="22"/>
        <v>0</v>
      </c>
      <c r="V311">
        <f t="shared" si="23"/>
        <v>0</v>
      </c>
      <c r="W311">
        <f t="shared" si="24"/>
        <v>0</v>
      </c>
      <c r="X311">
        <f t="shared" si="25"/>
        <v>0</v>
      </c>
      <c r="Y311">
        <f t="shared" si="26"/>
        <v>0</v>
      </c>
      <c r="Z311">
        <v>6.470437859775767E-2</v>
      </c>
      <c r="AA311">
        <v>5.4737782980879093</v>
      </c>
      <c r="AB311">
        <v>0</v>
      </c>
      <c r="AC311" s="129">
        <v>0</v>
      </c>
      <c r="AE311" cm="1">
        <f t="array" ref="AE311">_xlfn.SWITCH(TRUE,
  $C311&lt;$Q$5,  $U$61*$C311+$V$61,
  $C311&lt;$Q$6,  $U$62*$C311+$V$62,
  $C311&lt;$Q$7,  $U$63*$C311+$V$63,
  $C311&lt;$Q$8, $U$64*$C311+$V$64,
  $C311&lt;$Q$9, $U$65*$C311+$V$65,
  $C311&lt;$Q$10, $U$66*$C311+$V$66,
  $C311&lt;$Q$11,  $U$67*$C311+$V$67,
  $C311&lt;$Q$12, $U$68*$C311+$V$68,
  $U$69*$C311+$V$69
)</f>
        <v>4</v>
      </c>
      <c r="AF311" cm="1">
        <f t="array" ref="AF311">_xlfn.LET(
  _xlpm.y,$C311,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1" cm="1">
        <f t="array" ref="AG311">_xlfn.LET(
  _xlpm.y,$C311,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1" cm="1">
        <f t="array" ref="AH311">_xlfn.LET(
  _xlpm.y,$C311,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1" cm="1">
        <f t="array" ref="AI311">_xlfn.LET(
  _xlpm.y,$C311,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1" cm="1">
        <f t="array" ref="AJ311">_xlfn.LET(
  _xlpm.y,$C311,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1">
        <f t="shared" si="27"/>
        <v>0</v>
      </c>
    </row>
    <row r="312" spans="2:37">
      <c r="B312">
        <f>'主翼(型紙出力)'!B155</f>
        <v>0</v>
      </c>
      <c r="C312">
        <f>'主翼(型紙出力)'!C155</f>
        <v>0</v>
      </c>
      <c r="D312">
        <f>'主翼(型紙出力)'!E155</f>
        <v>0</v>
      </c>
      <c r="E312">
        <f>'主翼(重量推算)'!CE152</f>
        <v>0</v>
      </c>
      <c r="F312" s="244" cm="1">
        <f t="array" ref="F312">_xlfn.SWITCH(TRUE,
  $C312&lt;$Q$5,  $S$22*$C312+$T$22,
  $C312&lt;$Q$6,  $S$23*$C312+$T$23,
  $C312&lt;$Q$7,  $S$24*$C312+$T$24,
  $C312&lt;$Q$8, $S$25*$C312+$T$25,
  $C312&lt;$Q$9, $S$26*$C312+$T$26,
  $C312&lt;$Q$10, $S$27*$C312+$T$27,
  $C312&lt;$Q$11,  $S$28*$C312+$T$28,
  $C312&lt;$Q$12, $S$29*$C312+$T$29,
  $S$30*$C312+$T$30
)</f>
        <v>1.1000000000000001</v>
      </c>
      <c r="G312" cm="1">
        <f t="array" ref="G312">_xlfn.SWITCH(TRUE,
  $C312&lt;$Q$5,  $U$22*$C312+$V$22,
  $C312&lt;$Q$6,  $U$23*$C312+$V$23,
  $C312&lt;$Q$7,  $U$24*$C312+$V$24,
  $C312&lt;$Q$8, $U$25*$C312+$V$25,
  $C312&lt;$Q$9, $U$26*$C312+$V$26,
  $C312&lt;$Q$10, $U$27*$C312+$V$27,
  $C312&lt;$Q$11,  $U$28*$C312+$V$28,
  $C312&lt;$Q$12, $U$29*$C312+$V$29,
  $U$30*$C312+$V$30
)</f>
        <v>3.4</v>
      </c>
      <c r="H312" cm="1">
        <f t="array" ref="H312">_xlfn.LET(
  _xlpm.y,$C312,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2" cm="1">
        <f t="array" ref="I312">_xlfn.LET(
  _xlpm.y,$C312,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2" cm="1">
        <f t="array" ref="J312">_xlfn.LET(
  _xlpm.y,$C312,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2" cm="1">
        <f t="array" ref="K312">_xlfn.LET(
  _xlpm.y,$C312,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2" cm="1">
        <f t="array" ref="L312">_xlfn.LET(
  _xlpm.y,$C312,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2" cm="1">
        <f t="array" ref="M312">_xlfn.SWITCH(TRUE,
  $C312&lt;$Q$5,  $D$22,
  $C312&lt;$Q$6,  $D$23,
  $C312&lt;$Q$7,  $D$24,
  $C312&lt;$Q$8,  $D$25,
  $C312&lt;$Q$9,  $D$26,
  $C312&lt;$Q$10,  $D$27,
  $C312&lt;$Q$11,  $D$28,
  $C312&lt;$Q$12,  $D$29,
  $C312&lt;$Q$13,  $D$30,
  $C312&lt;100,  $D$31,
)</f>
        <v>0</v>
      </c>
      <c r="Q312" s="129"/>
      <c r="R312" s="244" cm="1">
        <f t="array" ref="R312">_xlfn.SWITCH(TRUE,
  $C312&lt;$Q$5,  $S$41*$C312+$T$41,
  $C312&lt;$Q$6,  $S$42*$C312+$T$42,
  $C312&lt;$Q$7,  $S$43*$C312+$T$43,
  $C312&lt;$Q$8, $S$44*$C312+$T$44,
  $C312&lt;$Q$9, $S$45*$C312+$T$45,
  $C312&lt;$Q$10, $S$46*$C312+$T$46,
  $C312&lt;$Q$11,  $S$47*$C312+$T$47,
  $C312&lt;$Q$12, $S$48*$C312+$T$48,
  $S$49*$C312+$T$49
)</f>
        <v>1.1000000000000001</v>
      </c>
      <c r="S312" cm="1">
        <f t="array" ref="S312">_xlfn.SWITCH(TRUE,
  $C312&lt;$Q$5,  $U$41*$C312+$V$41,
  $C312&lt;$Q$6,  $U$42*$C312+$V$42,
  $C312&lt;$Q$7,  $U$43*$C312+$V$43,
  $C312&lt;$Q$8, $U$44*$C312+$V$44,
  $C312&lt;$Q$9, $U$45*$C312+$V$45,
  $C312&lt;$Q$10, $U$46*$C312+$V$46,
  $C312&lt;$Q$11,  $U$47*$C312+$V$47,
  $C312&lt;$Q$12, $U$48*$C312+$V$48,
  $U$49*$C312+$V$49
)</f>
        <v>3.8</v>
      </c>
      <c r="T312">
        <f t="shared" si="21"/>
        <v>1</v>
      </c>
      <c r="U312">
        <f t="shared" si="22"/>
        <v>0</v>
      </c>
      <c r="V312">
        <f t="shared" si="23"/>
        <v>0</v>
      </c>
      <c r="W312">
        <f t="shared" si="24"/>
        <v>0</v>
      </c>
      <c r="X312">
        <f t="shared" si="25"/>
        <v>0</v>
      </c>
      <c r="Y312">
        <f t="shared" si="26"/>
        <v>0</v>
      </c>
      <c r="Z312">
        <v>6.470437859775767E-2</v>
      </c>
      <c r="AA312">
        <v>5.4737782980879093</v>
      </c>
      <c r="AB312">
        <v>0</v>
      </c>
      <c r="AC312" s="129">
        <v>0</v>
      </c>
      <c r="AE312" cm="1">
        <f t="array" ref="AE312">_xlfn.SWITCH(TRUE,
  $C312&lt;$Q$5,  $U$61*$C312+$V$61,
  $C312&lt;$Q$6,  $U$62*$C312+$V$62,
  $C312&lt;$Q$7,  $U$63*$C312+$V$63,
  $C312&lt;$Q$8, $U$64*$C312+$V$64,
  $C312&lt;$Q$9, $U$65*$C312+$V$65,
  $C312&lt;$Q$10, $U$66*$C312+$V$66,
  $C312&lt;$Q$11,  $U$67*$C312+$V$67,
  $C312&lt;$Q$12, $U$68*$C312+$V$68,
  $U$69*$C312+$V$69
)</f>
        <v>4</v>
      </c>
      <c r="AF312" cm="1">
        <f t="array" ref="AF312">_xlfn.LET(
  _xlpm.y,$C312,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2" cm="1">
        <f t="array" ref="AG312">_xlfn.LET(
  _xlpm.y,$C312,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2" cm="1">
        <f t="array" ref="AH312">_xlfn.LET(
  _xlpm.y,$C312,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2" cm="1">
        <f t="array" ref="AI312">_xlfn.LET(
  _xlpm.y,$C312,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2" cm="1">
        <f t="array" ref="AJ312">_xlfn.LET(
  _xlpm.y,$C312,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2">
        <f t="shared" si="27"/>
        <v>0</v>
      </c>
    </row>
    <row r="313" spans="2:37">
      <c r="B313">
        <f>'主翼(型紙出力)'!B156</f>
        <v>0</v>
      </c>
      <c r="C313">
        <f>'主翼(型紙出力)'!C156</f>
        <v>0</v>
      </c>
      <c r="D313">
        <f>'主翼(型紙出力)'!E156</f>
        <v>0</v>
      </c>
      <c r="E313">
        <f>'主翼(重量推算)'!CE153</f>
        <v>0</v>
      </c>
      <c r="F313" s="244" cm="1">
        <f t="array" ref="F313">_xlfn.SWITCH(TRUE,
  $C313&lt;$Q$5,  $S$22*$C313+$T$22,
  $C313&lt;$Q$6,  $S$23*$C313+$T$23,
  $C313&lt;$Q$7,  $S$24*$C313+$T$24,
  $C313&lt;$Q$8, $S$25*$C313+$T$25,
  $C313&lt;$Q$9, $S$26*$C313+$T$26,
  $C313&lt;$Q$10, $S$27*$C313+$T$27,
  $C313&lt;$Q$11,  $S$28*$C313+$T$28,
  $C313&lt;$Q$12, $S$29*$C313+$T$29,
  $S$30*$C313+$T$30
)</f>
        <v>1.1000000000000001</v>
      </c>
      <c r="G313" cm="1">
        <f t="array" ref="G313">_xlfn.SWITCH(TRUE,
  $C313&lt;$Q$5,  $U$22*$C313+$V$22,
  $C313&lt;$Q$6,  $U$23*$C313+$V$23,
  $C313&lt;$Q$7,  $U$24*$C313+$V$24,
  $C313&lt;$Q$8, $U$25*$C313+$V$25,
  $C313&lt;$Q$9, $U$26*$C313+$V$26,
  $C313&lt;$Q$10, $U$27*$C313+$V$27,
  $C313&lt;$Q$11,  $U$28*$C313+$V$28,
  $C313&lt;$Q$12, $U$29*$C313+$V$29,
  $U$30*$C313+$V$30
)</f>
        <v>3.4</v>
      </c>
      <c r="H313" cm="1">
        <f t="array" ref="H313">_xlfn.LET(
  _xlpm.y,$C313,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3" cm="1">
        <f t="array" ref="I313">_xlfn.LET(
  _xlpm.y,$C313,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3" cm="1">
        <f t="array" ref="J313">_xlfn.LET(
  _xlpm.y,$C313,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3" cm="1">
        <f t="array" ref="K313">_xlfn.LET(
  _xlpm.y,$C313,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3" cm="1">
        <f t="array" ref="L313">_xlfn.LET(
  _xlpm.y,$C313,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3" cm="1">
        <f t="array" ref="M313">_xlfn.SWITCH(TRUE,
  $C313&lt;$Q$5,  $D$22,
  $C313&lt;$Q$6,  $D$23,
  $C313&lt;$Q$7,  $D$24,
  $C313&lt;$Q$8,  $D$25,
  $C313&lt;$Q$9,  $D$26,
  $C313&lt;$Q$10,  $D$27,
  $C313&lt;$Q$11,  $D$28,
  $C313&lt;$Q$12,  $D$29,
  $C313&lt;$Q$13,  $D$30,
  $C313&lt;100,  $D$31,
)</f>
        <v>0</v>
      </c>
      <c r="Q313" s="129"/>
      <c r="R313" s="244" cm="1">
        <f t="array" ref="R313">_xlfn.SWITCH(TRUE,
  $C313&lt;$Q$5,  $S$41*$C313+$T$41,
  $C313&lt;$Q$6,  $S$42*$C313+$T$42,
  $C313&lt;$Q$7,  $S$43*$C313+$T$43,
  $C313&lt;$Q$8, $S$44*$C313+$T$44,
  $C313&lt;$Q$9, $S$45*$C313+$T$45,
  $C313&lt;$Q$10, $S$46*$C313+$T$46,
  $C313&lt;$Q$11,  $S$47*$C313+$T$47,
  $C313&lt;$Q$12, $S$48*$C313+$T$48,
  $S$49*$C313+$T$49
)</f>
        <v>1.1000000000000001</v>
      </c>
      <c r="S313" cm="1">
        <f t="array" ref="S313">_xlfn.SWITCH(TRUE,
  $C313&lt;$Q$5,  $U$41*$C313+$V$41,
  $C313&lt;$Q$6,  $U$42*$C313+$V$42,
  $C313&lt;$Q$7,  $U$43*$C313+$V$43,
  $C313&lt;$Q$8, $U$44*$C313+$V$44,
  $C313&lt;$Q$9, $U$45*$C313+$V$45,
  $C313&lt;$Q$10, $U$46*$C313+$V$46,
  $C313&lt;$Q$11,  $U$47*$C313+$V$47,
  $C313&lt;$Q$12, $U$48*$C313+$V$48,
  $U$49*$C313+$V$49
)</f>
        <v>3.8</v>
      </c>
      <c r="T313">
        <f t="shared" si="21"/>
        <v>1</v>
      </c>
      <c r="U313">
        <f t="shared" si="22"/>
        <v>0</v>
      </c>
      <c r="V313">
        <f t="shared" si="23"/>
        <v>0</v>
      </c>
      <c r="W313">
        <f t="shared" si="24"/>
        <v>0</v>
      </c>
      <c r="X313">
        <f t="shared" si="25"/>
        <v>0</v>
      </c>
      <c r="Y313">
        <f t="shared" si="26"/>
        <v>0</v>
      </c>
      <c r="Z313">
        <v>6.470437859775767E-2</v>
      </c>
      <c r="AA313">
        <v>5.4737782980879093</v>
      </c>
      <c r="AB313">
        <v>0</v>
      </c>
      <c r="AC313" s="129">
        <v>0</v>
      </c>
      <c r="AE313" cm="1">
        <f t="array" ref="AE313">_xlfn.SWITCH(TRUE,
  $C313&lt;$Q$5,  $U$61*$C313+$V$61,
  $C313&lt;$Q$6,  $U$62*$C313+$V$62,
  $C313&lt;$Q$7,  $U$63*$C313+$V$63,
  $C313&lt;$Q$8, $U$64*$C313+$V$64,
  $C313&lt;$Q$9, $U$65*$C313+$V$65,
  $C313&lt;$Q$10, $U$66*$C313+$V$66,
  $C313&lt;$Q$11,  $U$67*$C313+$V$67,
  $C313&lt;$Q$12, $U$68*$C313+$V$68,
  $U$69*$C313+$V$69
)</f>
        <v>4</v>
      </c>
      <c r="AF313" cm="1">
        <f t="array" ref="AF313">_xlfn.LET(
  _xlpm.y,$C313,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3" cm="1">
        <f t="array" ref="AG313">_xlfn.LET(
  _xlpm.y,$C313,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3" cm="1">
        <f t="array" ref="AH313">_xlfn.LET(
  _xlpm.y,$C313,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3" cm="1">
        <f t="array" ref="AI313">_xlfn.LET(
  _xlpm.y,$C313,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3" cm="1">
        <f t="array" ref="AJ313">_xlfn.LET(
  _xlpm.y,$C313,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3">
        <f t="shared" si="27"/>
        <v>0</v>
      </c>
    </row>
    <row r="314" spans="2:37">
      <c r="B314">
        <f>'主翼(型紙出力)'!B157</f>
        <v>0</v>
      </c>
      <c r="C314">
        <f>'主翼(型紙出力)'!C157</f>
        <v>0</v>
      </c>
      <c r="D314">
        <f>'主翼(型紙出力)'!E157</f>
        <v>0</v>
      </c>
      <c r="E314">
        <f>'主翼(重量推算)'!CE154</f>
        <v>0</v>
      </c>
      <c r="F314" s="244" cm="1">
        <f t="array" ref="F314">_xlfn.SWITCH(TRUE,
  $C314&lt;$Q$5,  $S$22*$C314+$T$22,
  $C314&lt;$Q$6,  $S$23*$C314+$T$23,
  $C314&lt;$Q$7,  $S$24*$C314+$T$24,
  $C314&lt;$Q$8, $S$25*$C314+$T$25,
  $C314&lt;$Q$9, $S$26*$C314+$T$26,
  $C314&lt;$Q$10, $S$27*$C314+$T$27,
  $C314&lt;$Q$11,  $S$28*$C314+$T$28,
  $C314&lt;$Q$12, $S$29*$C314+$T$29,
  $S$30*$C314+$T$30
)</f>
        <v>1.1000000000000001</v>
      </c>
      <c r="G314" cm="1">
        <f t="array" ref="G314">_xlfn.SWITCH(TRUE,
  $C314&lt;$Q$5,  $U$22*$C314+$V$22,
  $C314&lt;$Q$6,  $U$23*$C314+$V$23,
  $C314&lt;$Q$7,  $U$24*$C314+$V$24,
  $C314&lt;$Q$8, $U$25*$C314+$V$25,
  $C314&lt;$Q$9, $U$26*$C314+$V$26,
  $C314&lt;$Q$10, $U$27*$C314+$V$27,
  $C314&lt;$Q$11,  $U$28*$C314+$V$28,
  $C314&lt;$Q$12, $U$29*$C314+$V$29,
  $U$30*$C314+$V$30
)</f>
        <v>3.4</v>
      </c>
      <c r="H314" cm="1">
        <f t="array" ref="H314">_xlfn.LET(
  _xlpm.y,$C314,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4" cm="1">
        <f t="array" ref="I314">_xlfn.LET(
  _xlpm.y,$C314,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4" cm="1">
        <f t="array" ref="J314">_xlfn.LET(
  _xlpm.y,$C314,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4" cm="1">
        <f t="array" ref="K314">_xlfn.LET(
  _xlpm.y,$C314,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4" cm="1">
        <f t="array" ref="L314">_xlfn.LET(
  _xlpm.y,$C314,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4" cm="1">
        <f t="array" ref="M314">_xlfn.SWITCH(TRUE,
  $C314&lt;$Q$5,  $D$22,
  $C314&lt;$Q$6,  $D$23,
  $C314&lt;$Q$7,  $D$24,
  $C314&lt;$Q$8,  $D$25,
  $C314&lt;$Q$9,  $D$26,
  $C314&lt;$Q$10,  $D$27,
  $C314&lt;$Q$11,  $D$28,
  $C314&lt;$Q$12,  $D$29,
  $C314&lt;$Q$13,  $D$30,
  $C314&lt;100,  $D$31,
)</f>
        <v>0</v>
      </c>
      <c r="Q314" s="129"/>
      <c r="R314" s="244" cm="1">
        <f t="array" ref="R314">_xlfn.SWITCH(TRUE,
  $C314&lt;$Q$5,  $S$41*$C314+$T$41,
  $C314&lt;$Q$6,  $S$42*$C314+$T$42,
  $C314&lt;$Q$7,  $S$43*$C314+$T$43,
  $C314&lt;$Q$8, $S$44*$C314+$T$44,
  $C314&lt;$Q$9, $S$45*$C314+$T$45,
  $C314&lt;$Q$10, $S$46*$C314+$T$46,
  $C314&lt;$Q$11,  $S$47*$C314+$T$47,
  $C314&lt;$Q$12, $S$48*$C314+$T$48,
  $S$49*$C314+$T$49
)</f>
        <v>1.1000000000000001</v>
      </c>
      <c r="S314" cm="1">
        <f t="array" ref="S314">_xlfn.SWITCH(TRUE,
  $C314&lt;$Q$5,  $U$41*$C314+$V$41,
  $C314&lt;$Q$6,  $U$42*$C314+$V$42,
  $C314&lt;$Q$7,  $U$43*$C314+$V$43,
  $C314&lt;$Q$8, $U$44*$C314+$V$44,
  $C314&lt;$Q$9, $U$45*$C314+$V$45,
  $C314&lt;$Q$10, $U$46*$C314+$V$46,
  $C314&lt;$Q$11,  $U$47*$C314+$V$47,
  $C314&lt;$Q$12, $U$48*$C314+$V$48,
  $U$49*$C314+$V$49
)</f>
        <v>3.8</v>
      </c>
      <c r="T314">
        <f t="shared" si="21"/>
        <v>1</v>
      </c>
      <c r="U314">
        <f t="shared" si="22"/>
        <v>0</v>
      </c>
      <c r="V314">
        <f t="shared" si="23"/>
        <v>0</v>
      </c>
      <c r="W314">
        <f t="shared" si="24"/>
        <v>0</v>
      </c>
      <c r="X314">
        <f t="shared" si="25"/>
        <v>0</v>
      </c>
      <c r="Y314">
        <f t="shared" si="26"/>
        <v>0</v>
      </c>
      <c r="Z314">
        <v>6.470437859775767E-2</v>
      </c>
      <c r="AA314">
        <v>5.4737782980879093</v>
      </c>
      <c r="AB314">
        <v>0</v>
      </c>
      <c r="AC314" s="129">
        <v>0</v>
      </c>
      <c r="AE314" cm="1">
        <f t="array" ref="AE314">_xlfn.SWITCH(TRUE,
  $C314&lt;$Q$5,  $U$61*$C314+$V$61,
  $C314&lt;$Q$6,  $U$62*$C314+$V$62,
  $C314&lt;$Q$7,  $U$63*$C314+$V$63,
  $C314&lt;$Q$8, $U$64*$C314+$V$64,
  $C314&lt;$Q$9, $U$65*$C314+$V$65,
  $C314&lt;$Q$10, $U$66*$C314+$V$66,
  $C314&lt;$Q$11,  $U$67*$C314+$V$67,
  $C314&lt;$Q$12, $U$68*$C314+$V$68,
  $U$69*$C314+$V$69
)</f>
        <v>4</v>
      </c>
      <c r="AF314" cm="1">
        <f t="array" ref="AF314">_xlfn.LET(
  _xlpm.y,$C314,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4" cm="1">
        <f t="array" ref="AG314">_xlfn.LET(
  _xlpm.y,$C314,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4" cm="1">
        <f t="array" ref="AH314">_xlfn.LET(
  _xlpm.y,$C314,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4" cm="1">
        <f t="array" ref="AI314">_xlfn.LET(
  _xlpm.y,$C314,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4" cm="1">
        <f t="array" ref="AJ314">_xlfn.LET(
  _xlpm.y,$C314,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4">
        <f t="shared" si="27"/>
        <v>0</v>
      </c>
    </row>
    <row r="315" spans="2:37">
      <c r="B315">
        <f>'主翼(型紙出力)'!B158</f>
        <v>0</v>
      </c>
      <c r="C315">
        <f>'主翼(型紙出力)'!C158</f>
        <v>0</v>
      </c>
      <c r="D315">
        <f>'主翼(型紙出力)'!E158</f>
        <v>0</v>
      </c>
      <c r="E315">
        <f>'主翼(重量推算)'!CE155</f>
        <v>0</v>
      </c>
      <c r="F315" s="244" cm="1">
        <f t="array" ref="F315">_xlfn.SWITCH(TRUE,
  $C315&lt;$Q$5,  $S$22*$C315+$T$22,
  $C315&lt;$Q$6,  $S$23*$C315+$T$23,
  $C315&lt;$Q$7,  $S$24*$C315+$T$24,
  $C315&lt;$Q$8, $S$25*$C315+$T$25,
  $C315&lt;$Q$9, $S$26*$C315+$T$26,
  $C315&lt;$Q$10, $S$27*$C315+$T$27,
  $C315&lt;$Q$11,  $S$28*$C315+$T$28,
  $C315&lt;$Q$12, $S$29*$C315+$T$29,
  $S$30*$C315+$T$30
)</f>
        <v>1.1000000000000001</v>
      </c>
      <c r="G315" cm="1">
        <f t="array" ref="G315">_xlfn.SWITCH(TRUE,
  $C315&lt;$Q$5,  $U$22*$C315+$V$22,
  $C315&lt;$Q$6,  $U$23*$C315+$V$23,
  $C315&lt;$Q$7,  $U$24*$C315+$V$24,
  $C315&lt;$Q$8, $U$25*$C315+$V$25,
  $C315&lt;$Q$9, $U$26*$C315+$V$26,
  $C315&lt;$Q$10, $U$27*$C315+$V$27,
  $C315&lt;$Q$11,  $U$28*$C315+$V$28,
  $C315&lt;$Q$12, $U$29*$C315+$V$29,
  $U$30*$C315+$V$30
)</f>
        <v>3.4</v>
      </c>
      <c r="H315" cm="1">
        <f t="array" ref="H315">_xlfn.LET(
  _xlpm.y,$C315,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5" cm="1">
        <f t="array" ref="I315">_xlfn.LET(
  _xlpm.y,$C315,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5" cm="1">
        <f t="array" ref="J315">_xlfn.LET(
  _xlpm.y,$C315,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5" cm="1">
        <f t="array" ref="K315">_xlfn.LET(
  _xlpm.y,$C315,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5" cm="1">
        <f t="array" ref="L315">_xlfn.LET(
  _xlpm.y,$C315,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5" cm="1">
        <f t="array" ref="M315">_xlfn.SWITCH(TRUE,
  $C315&lt;$Q$5,  $D$22,
  $C315&lt;$Q$6,  $D$23,
  $C315&lt;$Q$7,  $D$24,
  $C315&lt;$Q$8,  $D$25,
  $C315&lt;$Q$9,  $D$26,
  $C315&lt;$Q$10,  $D$27,
  $C315&lt;$Q$11,  $D$28,
  $C315&lt;$Q$12,  $D$29,
  $C315&lt;$Q$13,  $D$30,
  $C315&lt;100,  $D$31,
)</f>
        <v>0</v>
      </c>
      <c r="Q315" s="129"/>
      <c r="R315" s="244" cm="1">
        <f t="array" ref="R315">_xlfn.SWITCH(TRUE,
  $C315&lt;$Q$5,  $S$41*$C315+$T$41,
  $C315&lt;$Q$6,  $S$42*$C315+$T$42,
  $C315&lt;$Q$7,  $S$43*$C315+$T$43,
  $C315&lt;$Q$8, $S$44*$C315+$T$44,
  $C315&lt;$Q$9, $S$45*$C315+$T$45,
  $C315&lt;$Q$10, $S$46*$C315+$T$46,
  $C315&lt;$Q$11,  $S$47*$C315+$T$47,
  $C315&lt;$Q$12, $S$48*$C315+$T$48,
  $S$49*$C315+$T$49
)</f>
        <v>1.1000000000000001</v>
      </c>
      <c r="S315" cm="1">
        <f t="array" ref="S315">_xlfn.SWITCH(TRUE,
  $C315&lt;$Q$5,  $U$41*$C315+$V$41,
  $C315&lt;$Q$6,  $U$42*$C315+$V$42,
  $C315&lt;$Q$7,  $U$43*$C315+$V$43,
  $C315&lt;$Q$8, $U$44*$C315+$V$44,
  $C315&lt;$Q$9, $U$45*$C315+$V$45,
  $C315&lt;$Q$10, $U$46*$C315+$V$46,
  $C315&lt;$Q$11,  $U$47*$C315+$V$47,
  $C315&lt;$Q$12, $U$48*$C315+$V$48,
  $U$49*$C315+$V$49
)</f>
        <v>3.8</v>
      </c>
      <c r="T315">
        <f t="shared" si="21"/>
        <v>1</v>
      </c>
      <c r="U315">
        <f t="shared" si="22"/>
        <v>0</v>
      </c>
      <c r="V315">
        <f t="shared" si="23"/>
        <v>0</v>
      </c>
      <c r="W315">
        <f t="shared" si="24"/>
        <v>0</v>
      </c>
      <c r="X315">
        <f t="shared" si="25"/>
        <v>0</v>
      </c>
      <c r="Y315">
        <f t="shared" si="26"/>
        <v>0</v>
      </c>
      <c r="Z315">
        <v>6.470437859775767E-2</v>
      </c>
      <c r="AA315">
        <v>5.4737782980879093</v>
      </c>
      <c r="AB315">
        <v>0</v>
      </c>
      <c r="AC315" s="129">
        <v>0</v>
      </c>
      <c r="AE315" cm="1">
        <f t="array" ref="AE315">_xlfn.SWITCH(TRUE,
  $C315&lt;$Q$5,  $U$61*$C315+$V$61,
  $C315&lt;$Q$6,  $U$62*$C315+$V$62,
  $C315&lt;$Q$7,  $U$63*$C315+$V$63,
  $C315&lt;$Q$8, $U$64*$C315+$V$64,
  $C315&lt;$Q$9, $U$65*$C315+$V$65,
  $C315&lt;$Q$10, $U$66*$C315+$V$66,
  $C315&lt;$Q$11,  $U$67*$C315+$V$67,
  $C315&lt;$Q$12, $U$68*$C315+$V$68,
  $U$69*$C315+$V$69
)</f>
        <v>4</v>
      </c>
      <c r="AF315" cm="1">
        <f t="array" ref="AF315">_xlfn.LET(
  _xlpm.y,$C315,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5" cm="1">
        <f t="array" ref="AG315">_xlfn.LET(
  _xlpm.y,$C315,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5" cm="1">
        <f t="array" ref="AH315">_xlfn.LET(
  _xlpm.y,$C315,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5" cm="1">
        <f t="array" ref="AI315">_xlfn.LET(
  _xlpm.y,$C315,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5" cm="1">
        <f t="array" ref="AJ315">_xlfn.LET(
  _xlpm.y,$C315,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5">
        <f t="shared" si="27"/>
        <v>0</v>
      </c>
    </row>
    <row r="316" spans="2:37">
      <c r="B316">
        <f>'主翼(型紙出力)'!B159</f>
        <v>0</v>
      </c>
      <c r="C316">
        <f>'主翼(型紙出力)'!C159</f>
        <v>0</v>
      </c>
      <c r="D316">
        <f>'主翼(型紙出力)'!E159</f>
        <v>0</v>
      </c>
      <c r="E316">
        <f>'主翼(重量推算)'!CE156</f>
        <v>0</v>
      </c>
      <c r="F316" s="244" cm="1">
        <f t="array" ref="F316">_xlfn.SWITCH(TRUE,
  $C316&lt;$Q$5,  $S$22*$C316+$T$22,
  $C316&lt;$Q$6,  $S$23*$C316+$T$23,
  $C316&lt;$Q$7,  $S$24*$C316+$T$24,
  $C316&lt;$Q$8, $S$25*$C316+$T$25,
  $C316&lt;$Q$9, $S$26*$C316+$T$26,
  $C316&lt;$Q$10, $S$27*$C316+$T$27,
  $C316&lt;$Q$11,  $S$28*$C316+$T$28,
  $C316&lt;$Q$12, $S$29*$C316+$T$29,
  $S$30*$C316+$T$30
)</f>
        <v>1.1000000000000001</v>
      </c>
      <c r="G316" cm="1">
        <f t="array" ref="G316">_xlfn.SWITCH(TRUE,
  $C316&lt;$Q$5,  $U$22*$C316+$V$22,
  $C316&lt;$Q$6,  $U$23*$C316+$V$23,
  $C316&lt;$Q$7,  $U$24*$C316+$V$24,
  $C316&lt;$Q$8, $U$25*$C316+$V$25,
  $C316&lt;$Q$9, $U$26*$C316+$V$26,
  $C316&lt;$Q$10, $U$27*$C316+$V$27,
  $C316&lt;$Q$11,  $U$28*$C316+$V$28,
  $C316&lt;$Q$12, $U$29*$C316+$V$29,
  $U$30*$C316+$V$30
)</f>
        <v>3.4</v>
      </c>
      <c r="H316" cm="1">
        <f t="array" ref="H316">_xlfn.LET(
  _xlpm.y,$C316,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6" cm="1">
        <f t="array" ref="I316">_xlfn.LET(
  _xlpm.y,$C316,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6" cm="1">
        <f t="array" ref="J316">_xlfn.LET(
  _xlpm.y,$C316,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6" cm="1">
        <f t="array" ref="K316">_xlfn.LET(
  _xlpm.y,$C316,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6" cm="1">
        <f t="array" ref="L316">_xlfn.LET(
  _xlpm.y,$C316,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6" cm="1">
        <f t="array" ref="M316">_xlfn.SWITCH(TRUE,
  $C316&lt;$Q$5,  $D$22,
  $C316&lt;$Q$6,  $D$23,
  $C316&lt;$Q$7,  $D$24,
  $C316&lt;$Q$8,  $D$25,
  $C316&lt;$Q$9,  $D$26,
  $C316&lt;$Q$10,  $D$27,
  $C316&lt;$Q$11,  $D$28,
  $C316&lt;$Q$12,  $D$29,
  $C316&lt;$Q$13,  $D$30,
  $C316&lt;100,  $D$31,
)</f>
        <v>0</v>
      </c>
      <c r="Q316" s="129"/>
      <c r="R316" s="244" cm="1">
        <f t="array" ref="R316">_xlfn.SWITCH(TRUE,
  $C316&lt;$Q$5,  $S$41*$C316+$T$41,
  $C316&lt;$Q$6,  $S$42*$C316+$T$42,
  $C316&lt;$Q$7,  $S$43*$C316+$T$43,
  $C316&lt;$Q$8, $S$44*$C316+$T$44,
  $C316&lt;$Q$9, $S$45*$C316+$T$45,
  $C316&lt;$Q$10, $S$46*$C316+$T$46,
  $C316&lt;$Q$11,  $S$47*$C316+$T$47,
  $C316&lt;$Q$12, $S$48*$C316+$T$48,
  $S$49*$C316+$T$49
)</f>
        <v>1.1000000000000001</v>
      </c>
      <c r="S316" cm="1">
        <f t="array" ref="S316">_xlfn.SWITCH(TRUE,
  $C316&lt;$Q$5,  $U$41*$C316+$V$41,
  $C316&lt;$Q$6,  $U$42*$C316+$V$42,
  $C316&lt;$Q$7,  $U$43*$C316+$V$43,
  $C316&lt;$Q$8, $U$44*$C316+$V$44,
  $C316&lt;$Q$9, $U$45*$C316+$V$45,
  $C316&lt;$Q$10, $U$46*$C316+$V$46,
  $C316&lt;$Q$11,  $U$47*$C316+$V$47,
  $C316&lt;$Q$12, $U$48*$C316+$V$48,
  $U$49*$C316+$V$49
)</f>
        <v>3.8</v>
      </c>
      <c r="T316">
        <f t="shared" si="21"/>
        <v>1</v>
      </c>
      <c r="U316">
        <f t="shared" si="22"/>
        <v>0</v>
      </c>
      <c r="V316">
        <f t="shared" si="23"/>
        <v>0</v>
      </c>
      <c r="W316">
        <f t="shared" si="24"/>
        <v>0</v>
      </c>
      <c r="X316">
        <f t="shared" si="25"/>
        <v>0</v>
      </c>
      <c r="Y316">
        <f t="shared" si="26"/>
        <v>0</v>
      </c>
      <c r="Z316">
        <v>6.470437859775767E-2</v>
      </c>
      <c r="AA316">
        <v>5.4737782980879093</v>
      </c>
      <c r="AB316">
        <v>0</v>
      </c>
      <c r="AC316" s="129">
        <v>0</v>
      </c>
      <c r="AE316" cm="1">
        <f t="array" ref="AE316">_xlfn.SWITCH(TRUE,
  $C316&lt;$Q$5,  $U$61*$C316+$V$61,
  $C316&lt;$Q$6,  $U$62*$C316+$V$62,
  $C316&lt;$Q$7,  $U$63*$C316+$V$63,
  $C316&lt;$Q$8, $U$64*$C316+$V$64,
  $C316&lt;$Q$9, $U$65*$C316+$V$65,
  $C316&lt;$Q$10, $U$66*$C316+$V$66,
  $C316&lt;$Q$11,  $U$67*$C316+$V$67,
  $C316&lt;$Q$12, $U$68*$C316+$V$68,
  $U$69*$C316+$V$69
)</f>
        <v>4</v>
      </c>
      <c r="AF316" cm="1">
        <f t="array" ref="AF316">_xlfn.LET(
  _xlpm.y,$C316,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6" cm="1">
        <f t="array" ref="AG316">_xlfn.LET(
  _xlpm.y,$C316,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6" cm="1">
        <f t="array" ref="AH316">_xlfn.LET(
  _xlpm.y,$C316,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6" cm="1">
        <f t="array" ref="AI316">_xlfn.LET(
  _xlpm.y,$C316,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6" cm="1">
        <f t="array" ref="AJ316">_xlfn.LET(
  _xlpm.y,$C316,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6">
        <f t="shared" si="27"/>
        <v>0</v>
      </c>
    </row>
    <row r="317" spans="2:37">
      <c r="B317">
        <f>'主翼(型紙出力)'!B160</f>
        <v>0</v>
      </c>
      <c r="C317">
        <f>'主翼(型紙出力)'!C160</f>
        <v>0</v>
      </c>
      <c r="D317">
        <f>'主翼(型紙出力)'!E160</f>
        <v>0</v>
      </c>
      <c r="E317">
        <f>'主翼(重量推算)'!CE157</f>
        <v>0</v>
      </c>
      <c r="F317" s="244" cm="1">
        <f t="array" ref="F317">_xlfn.SWITCH(TRUE,
  $C317&lt;$Q$5,  $S$22*$C317+$T$22,
  $C317&lt;$Q$6,  $S$23*$C317+$T$23,
  $C317&lt;$Q$7,  $S$24*$C317+$T$24,
  $C317&lt;$Q$8, $S$25*$C317+$T$25,
  $C317&lt;$Q$9, $S$26*$C317+$T$26,
  $C317&lt;$Q$10, $S$27*$C317+$T$27,
  $C317&lt;$Q$11,  $S$28*$C317+$T$28,
  $C317&lt;$Q$12, $S$29*$C317+$T$29,
  $S$30*$C317+$T$30
)</f>
        <v>1.1000000000000001</v>
      </c>
      <c r="G317" cm="1">
        <f t="array" ref="G317">_xlfn.SWITCH(TRUE,
  $C317&lt;$Q$5,  $U$22*$C317+$V$22,
  $C317&lt;$Q$6,  $U$23*$C317+$V$23,
  $C317&lt;$Q$7,  $U$24*$C317+$V$24,
  $C317&lt;$Q$8, $U$25*$C317+$V$25,
  $C317&lt;$Q$9, $U$26*$C317+$V$26,
  $C317&lt;$Q$10, $U$27*$C317+$V$27,
  $C317&lt;$Q$11,  $U$28*$C317+$V$28,
  $C317&lt;$Q$12, $U$29*$C317+$V$29,
  $U$30*$C317+$V$30
)</f>
        <v>3.4</v>
      </c>
      <c r="H317" cm="1">
        <f t="array" ref="H317">_xlfn.LET(
  _xlpm.y,$C317,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7" cm="1">
        <f t="array" ref="I317">_xlfn.LET(
  _xlpm.y,$C317,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7" cm="1">
        <f t="array" ref="J317">_xlfn.LET(
  _xlpm.y,$C317,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7" cm="1">
        <f t="array" ref="K317">_xlfn.LET(
  _xlpm.y,$C317,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7" cm="1">
        <f t="array" ref="L317">_xlfn.LET(
  _xlpm.y,$C317,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7" cm="1">
        <f t="array" ref="M317">_xlfn.SWITCH(TRUE,
  $C317&lt;$Q$5,  $D$22,
  $C317&lt;$Q$6,  $D$23,
  $C317&lt;$Q$7,  $D$24,
  $C317&lt;$Q$8,  $D$25,
  $C317&lt;$Q$9,  $D$26,
  $C317&lt;$Q$10,  $D$27,
  $C317&lt;$Q$11,  $D$28,
  $C317&lt;$Q$12,  $D$29,
  $C317&lt;$Q$13,  $D$30,
  $C317&lt;100,  $D$31,
)</f>
        <v>0</v>
      </c>
      <c r="Q317" s="129"/>
      <c r="R317" s="244" cm="1">
        <f t="array" ref="R317">_xlfn.SWITCH(TRUE,
  $C317&lt;$Q$5,  $S$41*$C317+$T$41,
  $C317&lt;$Q$6,  $S$42*$C317+$T$42,
  $C317&lt;$Q$7,  $S$43*$C317+$T$43,
  $C317&lt;$Q$8, $S$44*$C317+$T$44,
  $C317&lt;$Q$9, $S$45*$C317+$T$45,
  $C317&lt;$Q$10, $S$46*$C317+$T$46,
  $C317&lt;$Q$11,  $S$47*$C317+$T$47,
  $C317&lt;$Q$12, $S$48*$C317+$T$48,
  $S$49*$C317+$T$49
)</f>
        <v>1.1000000000000001</v>
      </c>
      <c r="S317" cm="1">
        <f t="array" ref="S317">_xlfn.SWITCH(TRUE,
  $C317&lt;$Q$5,  $U$41*$C317+$V$41,
  $C317&lt;$Q$6,  $U$42*$C317+$V$42,
  $C317&lt;$Q$7,  $U$43*$C317+$V$43,
  $C317&lt;$Q$8, $U$44*$C317+$V$44,
  $C317&lt;$Q$9, $U$45*$C317+$V$45,
  $C317&lt;$Q$10, $U$46*$C317+$V$46,
  $C317&lt;$Q$11,  $U$47*$C317+$V$47,
  $C317&lt;$Q$12, $U$48*$C317+$V$48,
  $U$49*$C317+$V$49
)</f>
        <v>3.8</v>
      </c>
      <c r="T317">
        <f t="shared" si="21"/>
        <v>1</v>
      </c>
      <c r="U317">
        <f t="shared" si="22"/>
        <v>0</v>
      </c>
      <c r="V317">
        <f t="shared" si="23"/>
        <v>0</v>
      </c>
      <c r="W317">
        <f t="shared" si="24"/>
        <v>0</v>
      </c>
      <c r="X317">
        <f t="shared" si="25"/>
        <v>0</v>
      </c>
      <c r="Y317">
        <f t="shared" si="26"/>
        <v>0</v>
      </c>
      <c r="Z317">
        <v>6.470437859775767E-2</v>
      </c>
      <c r="AA317">
        <v>5.4737782980879093</v>
      </c>
      <c r="AB317">
        <v>0</v>
      </c>
      <c r="AC317" s="129">
        <v>0</v>
      </c>
      <c r="AE317" cm="1">
        <f t="array" ref="AE317">_xlfn.SWITCH(TRUE,
  $C317&lt;$Q$5,  $U$61*$C317+$V$61,
  $C317&lt;$Q$6,  $U$62*$C317+$V$62,
  $C317&lt;$Q$7,  $U$63*$C317+$V$63,
  $C317&lt;$Q$8, $U$64*$C317+$V$64,
  $C317&lt;$Q$9, $U$65*$C317+$V$65,
  $C317&lt;$Q$10, $U$66*$C317+$V$66,
  $C317&lt;$Q$11,  $U$67*$C317+$V$67,
  $C317&lt;$Q$12, $U$68*$C317+$V$68,
  $U$69*$C317+$V$69
)</f>
        <v>4</v>
      </c>
      <c r="AF317" cm="1">
        <f t="array" ref="AF317">_xlfn.LET(
  _xlpm.y,$C317,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7" cm="1">
        <f t="array" ref="AG317">_xlfn.LET(
  _xlpm.y,$C317,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7" cm="1">
        <f t="array" ref="AH317">_xlfn.LET(
  _xlpm.y,$C317,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7" cm="1">
        <f t="array" ref="AI317">_xlfn.LET(
  _xlpm.y,$C317,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7" cm="1">
        <f t="array" ref="AJ317">_xlfn.LET(
  _xlpm.y,$C317,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7">
        <f t="shared" si="27"/>
        <v>0</v>
      </c>
    </row>
    <row r="318" spans="2:37">
      <c r="B318">
        <f>'主翼(型紙出力)'!B161</f>
        <v>0</v>
      </c>
      <c r="C318">
        <f>'主翼(型紙出力)'!C161</f>
        <v>0</v>
      </c>
      <c r="D318">
        <f>'主翼(型紙出力)'!E161</f>
        <v>0</v>
      </c>
      <c r="E318">
        <f>'主翼(重量推算)'!CE158</f>
        <v>0</v>
      </c>
      <c r="F318" s="244" cm="1">
        <f t="array" ref="F318">_xlfn.SWITCH(TRUE,
  $C318&lt;$Q$5,  $S$22*$C318+$T$22,
  $C318&lt;$Q$6,  $S$23*$C318+$T$23,
  $C318&lt;$Q$7,  $S$24*$C318+$T$24,
  $C318&lt;$Q$8, $S$25*$C318+$T$25,
  $C318&lt;$Q$9, $S$26*$C318+$T$26,
  $C318&lt;$Q$10, $S$27*$C318+$T$27,
  $C318&lt;$Q$11,  $S$28*$C318+$T$28,
  $C318&lt;$Q$12, $S$29*$C318+$T$29,
  $S$30*$C318+$T$30
)</f>
        <v>1.1000000000000001</v>
      </c>
      <c r="G318" cm="1">
        <f t="array" ref="G318">_xlfn.SWITCH(TRUE,
  $C318&lt;$Q$5,  $U$22*$C318+$V$22,
  $C318&lt;$Q$6,  $U$23*$C318+$V$23,
  $C318&lt;$Q$7,  $U$24*$C318+$V$24,
  $C318&lt;$Q$8, $U$25*$C318+$V$25,
  $C318&lt;$Q$9, $U$26*$C318+$V$26,
  $C318&lt;$Q$10, $U$27*$C318+$V$27,
  $C318&lt;$Q$11,  $U$28*$C318+$V$28,
  $C318&lt;$Q$12, $U$29*$C318+$V$29,
  $U$30*$C318+$V$30
)</f>
        <v>3.4</v>
      </c>
      <c r="H318" cm="1">
        <f t="array" ref="H318">_xlfn.LET(
  _xlpm.y,$C318,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8" cm="1">
        <f t="array" ref="I318">_xlfn.LET(
  _xlpm.y,$C318,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8" cm="1">
        <f t="array" ref="J318">_xlfn.LET(
  _xlpm.y,$C318,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8" cm="1">
        <f t="array" ref="K318">_xlfn.LET(
  _xlpm.y,$C318,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8" cm="1">
        <f t="array" ref="L318">_xlfn.LET(
  _xlpm.y,$C318,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8" cm="1">
        <f t="array" ref="M318">_xlfn.SWITCH(TRUE,
  $C318&lt;$Q$5,  $D$22,
  $C318&lt;$Q$6,  $D$23,
  $C318&lt;$Q$7,  $D$24,
  $C318&lt;$Q$8,  $D$25,
  $C318&lt;$Q$9,  $D$26,
  $C318&lt;$Q$10,  $D$27,
  $C318&lt;$Q$11,  $D$28,
  $C318&lt;$Q$12,  $D$29,
  $C318&lt;$Q$13,  $D$30,
  $C318&lt;100,  $D$31,
)</f>
        <v>0</v>
      </c>
      <c r="Q318" s="129"/>
      <c r="R318" s="244" cm="1">
        <f t="array" ref="R318">_xlfn.SWITCH(TRUE,
  $C318&lt;$Q$5,  $S$41*$C318+$T$41,
  $C318&lt;$Q$6,  $S$42*$C318+$T$42,
  $C318&lt;$Q$7,  $S$43*$C318+$T$43,
  $C318&lt;$Q$8, $S$44*$C318+$T$44,
  $C318&lt;$Q$9, $S$45*$C318+$T$45,
  $C318&lt;$Q$10, $S$46*$C318+$T$46,
  $C318&lt;$Q$11,  $S$47*$C318+$T$47,
  $C318&lt;$Q$12, $S$48*$C318+$T$48,
  $S$49*$C318+$T$49
)</f>
        <v>1.1000000000000001</v>
      </c>
      <c r="S318" cm="1">
        <f t="array" ref="S318">_xlfn.SWITCH(TRUE,
  $C318&lt;$Q$5,  $U$41*$C318+$V$41,
  $C318&lt;$Q$6,  $U$42*$C318+$V$42,
  $C318&lt;$Q$7,  $U$43*$C318+$V$43,
  $C318&lt;$Q$8, $U$44*$C318+$V$44,
  $C318&lt;$Q$9, $U$45*$C318+$V$45,
  $C318&lt;$Q$10, $U$46*$C318+$V$46,
  $C318&lt;$Q$11,  $U$47*$C318+$V$47,
  $C318&lt;$Q$12, $U$48*$C318+$V$48,
  $U$49*$C318+$V$49
)</f>
        <v>3.8</v>
      </c>
      <c r="T318">
        <f t="shared" si="21"/>
        <v>1</v>
      </c>
      <c r="U318">
        <f t="shared" si="22"/>
        <v>0</v>
      </c>
      <c r="V318">
        <f t="shared" si="23"/>
        <v>0</v>
      </c>
      <c r="W318">
        <f t="shared" si="24"/>
        <v>0</v>
      </c>
      <c r="X318">
        <f t="shared" si="25"/>
        <v>0</v>
      </c>
      <c r="AE318" cm="1">
        <f t="array" ref="AE318">_xlfn.SWITCH(TRUE,
  $C318&lt;$Q$5,  $U$61*$C318+$V$61,
  $C318&lt;$Q$6,  $U$62*$C318+$V$62,
  $C318&lt;$Q$7,  $U$63*$C318+$V$63,
  $C318&lt;$Q$8, $U$64*$C318+$V$64,
  $C318&lt;$Q$9, $U$65*$C318+$V$65,
  $C318&lt;$Q$10, $U$66*$C318+$V$66,
  $C318&lt;$Q$11,  $U$67*$C318+$V$67,
  $C318&lt;$Q$12, $U$68*$C318+$V$68,
  $U$69*$C318+$V$69
)</f>
        <v>4</v>
      </c>
      <c r="AF318" cm="1">
        <f t="array" ref="AF318">_xlfn.LET(
  _xlpm.y,$C318,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8" cm="1">
        <f t="array" ref="AG318">_xlfn.LET(
  _xlpm.y,$C318,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8" cm="1">
        <f t="array" ref="AH318">_xlfn.LET(
  _xlpm.y,$C318,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8" cm="1">
        <f t="array" ref="AI318">_xlfn.LET(
  _xlpm.y,$C318,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8" cm="1">
        <f t="array" ref="AJ318">_xlfn.LET(
  _xlpm.y,$C318,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8">
        <f t="shared" si="27"/>
        <v>0</v>
      </c>
    </row>
    <row r="319" spans="2:37">
      <c r="B319">
        <f>'主翼(型紙出力)'!B162</f>
        <v>0</v>
      </c>
      <c r="C319">
        <f>'主翼(型紙出力)'!C162</f>
        <v>0</v>
      </c>
      <c r="D319">
        <f>'主翼(型紙出力)'!E162</f>
        <v>0</v>
      </c>
      <c r="E319">
        <f>'主翼(重量推算)'!CE159</f>
        <v>0</v>
      </c>
      <c r="F319" s="244" cm="1">
        <f t="array" ref="F319">_xlfn.SWITCH(TRUE,
  $C319&lt;$Q$5,  $S$22*$C319+$T$22,
  $C319&lt;$Q$6,  $S$23*$C319+$T$23,
  $C319&lt;$Q$7,  $S$24*$C319+$T$24,
  $C319&lt;$Q$8, $S$25*$C319+$T$25,
  $C319&lt;$Q$9, $S$26*$C319+$T$26,
  $C319&lt;$Q$10, $S$27*$C319+$T$27,
  $C319&lt;$Q$11,  $S$28*$C319+$T$28,
  $C319&lt;$Q$12, $S$29*$C319+$T$29,
  $S$30*$C319+$T$30
)</f>
        <v>1.1000000000000001</v>
      </c>
      <c r="G319" cm="1">
        <f t="array" ref="G319">_xlfn.SWITCH(TRUE,
  $C319&lt;$Q$5,  $U$22*$C319+$V$22,
  $C319&lt;$Q$6,  $U$23*$C319+$V$23,
  $C319&lt;$Q$7,  $U$24*$C319+$V$24,
  $C319&lt;$Q$8, $U$25*$C319+$V$25,
  $C319&lt;$Q$9, $U$26*$C319+$V$26,
  $C319&lt;$Q$10, $U$27*$C319+$V$27,
  $C319&lt;$Q$11,  $U$28*$C319+$V$28,
  $C319&lt;$Q$12, $U$29*$C319+$V$29,
  $U$30*$C319+$V$30
)</f>
        <v>3.4</v>
      </c>
      <c r="H319" cm="1">
        <f t="array" ref="H319">_xlfn.LET(
  _xlpm.y,$C319,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9" cm="1">
        <f t="array" ref="I319">_xlfn.LET(
  _xlpm.y,$C319,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9" cm="1">
        <f t="array" ref="J319">_xlfn.LET(
  _xlpm.y,$C319,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9" cm="1">
        <f t="array" ref="K319">_xlfn.LET(
  _xlpm.y,$C319,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9" cm="1">
        <f t="array" ref="L319">_xlfn.LET(
  _xlpm.y,$C319,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9" cm="1">
        <f t="array" ref="M319">_xlfn.SWITCH(TRUE,
  $C319&lt;$Q$5,  $D$22,
  $C319&lt;$Q$6,  $D$23,
  $C319&lt;$Q$7,  $D$24,
  $C319&lt;$Q$8,  $D$25,
  $C319&lt;$Q$9,  $D$26,
  $C319&lt;$Q$10,  $D$27,
  $C319&lt;$Q$11,  $D$28,
  $C319&lt;$Q$12,  $D$29,
  $C319&lt;$Q$13,  $D$30,
  $C319&lt;100,  $D$31,
)</f>
        <v>0</v>
      </c>
      <c r="Q319" s="129"/>
      <c r="R319" s="244" cm="1">
        <f t="array" ref="R319">_xlfn.SWITCH(TRUE,
  $C319&lt;$Q$5,  $S$41*$C319+$T$41,
  $C319&lt;$Q$6,  $S$42*$C319+$T$42,
  $C319&lt;$Q$7,  $S$43*$C319+$T$43,
  $C319&lt;$Q$8, $S$44*$C319+$T$44,
  $C319&lt;$Q$9, $S$45*$C319+$T$45,
  $C319&lt;$Q$10, $S$46*$C319+$T$46,
  $C319&lt;$Q$11,  $S$47*$C319+$T$47,
  $C319&lt;$Q$12, $S$48*$C319+$T$48,
  $S$49*$C319+$T$49
)</f>
        <v>1.1000000000000001</v>
      </c>
      <c r="S319" cm="1">
        <f t="array" ref="S319">_xlfn.SWITCH(TRUE,
  $C319&lt;$Q$5,  $U$41*$C319+$V$41,
  $C319&lt;$Q$6,  $U$42*$C319+$V$42,
  $C319&lt;$Q$7,  $U$43*$C319+$V$43,
  $C319&lt;$Q$8, $U$44*$C319+$V$44,
  $C319&lt;$Q$9, $U$45*$C319+$V$45,
  $C319&lt;$Q$10, $U$46*$C319+$V$46,
  $C319&lt;$Q$11,  $U$47*$C319+$V$47,
  $C319&lt;$Q$12, $U$48*$C319+$V$48,
  $U$49*$C319+$V$49
)</f>
        <v>3.8</v>
      </c>
      <c r="T319">
        <f t="shared" si="21"/>
        <v>1</v>
      </c>
      <c r="U319">
        <f t="shared" si="22"/>
        <v>0</v>
      </c>
      <c r="V319">
        <f t="shared" si="23"/>
        <v>0</v>
      </c>
      <c r="W319">
        <f t="shared" si="24"/>
        <v>0</v>
      </c>
      <c r="X319">
        <f t="shared" si="25"/>
        <v>0</v>
      </c>
      <c r="AE319" cm="1">
        <f t="array" ref="AE319">_xlfn.SWITCH(TRUE,
  $C319&lt;$Q$5,  $U$61*$C319+$V$61,
  $C319&lt;$Q$6,  $U$62*$C319+$V$62,
  $C319&lt;$Q$7,  $U$63*$C319+$V$63,
  $C319&lt;$Q$8, $U$64*$C319+$V$64,
  $C319&lt;$Q$9, $U$65*$C319+$V$65,
  $C319&lt;$Q$10, $U$66*$C319+$V$66,
  $C319&lt;$Q$11,  $U$67*$C319+$V$67,
  $C319&lt;$Q$12, $U$68*$C319+$V$68,
  $U$69*$C319+$V$69
)</f>
        <v>4</v>
      </c>
      <c r="AF319" cm="1">
        <f t="array" ref="AF319">_xlfn.LET(
  _xlpm.y,$C319,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9" cm="1">
        <f t="array" ref="AG319">_xlfn.LET(
  _xlpm.y,$C319,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9" cm="1">
        <f t="array" ref="AH319">_xlfn.LET(
  _xlpm.y,$C319,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9" cm="1">
        <f t="array" ref="AI319">_xlfn.LET(
  _xlpm.y,$C319,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9" cm="1">
        <f t="array" ref="AJ319">_xlfn.LET(
  _xlpm.y,$C319,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9">
        <f t="shared" si="27"/>
        <v>0</v>
      </c>
    </row>
    <row r="320" spans="2:37">
      <c r="B320">
        <f>'主翼(型紙出力)'!B163</f>
        <v>0</v>
      </c>
      <c r="C320">
        <f>'主翼(型紙出力)'!C163</f>
        <v>0</v>
      </c>
      <c r="D320">
        <f>'主翼(型紙出力)'!E163</f>
        <v>0</v>
      </c>
      <c r="E320">
        <f>'主翼(重量推算)'!CE160</f>
        <v>0</v>
      </c>
      <c r="F320" s="244" cm="1">
        <f t="array" ref="F320">_xlfn.SWITCH(TRUE,
  $C320&lt;$Q$5,  $S$22*$C320+$T$22,
  $C320&lt;$Q$6,  $S$23*$C320+$T$23,
  $C320&lt;$Q$7,  $S$24*$C320+$T$24,
  $C320&lt;$Q$8, $S$25*$C320+$T$25,
  $C320&lt;$Q$9, $S$26*$C320+$T$26,
  $C320&lt;$Q$10, $S$27*$C320+$T$27,
  $C320&lt;$Q$11,  $S$28*$C320+$T$28,
  $C320&lt;$Q$12, $S$29*$C320+$T$29,
  $S$30*$C320+$T$30
)</f>
        <v>1.1000000000000001</v>
      </c>
      <c r="G320" cm="1">
        <f t="array" ref="G320">_xlfn.SWITCH(TRUE,
  $C320&lt;$Q$5,  $U$22*$C320+$V$22,
  $C320&lt;$Q$6,  $U$23*$C320+$V$23,
  $C320&lt;$Q$7,  $U$24*$C320+$V$24,
  $C320&lt;$Q$8, $U$25*$C320+$V$25,
  $C320&lt;$Q$9, $U$26*$C320+$V$26,
  $C320&lt;$Q$10, $U$27*$C320+$V$27,
  $C320&lt;$Q$11,  $U$28*$C320+$V$28,
  $C320&lt;$Q$12, $U$29*$C320+$V$29,
  $U$30*$C320+$V$30
)</f>
        <v>3.4</v>
      </c>
      <c r="H320" cm="1">
        <f t="array" ref="H320">_xlfn.LET(
  _xlpm.y,$C320,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0" cm="1">
        <f t="array" ref="I320">_xlfn.LET(
  _xlpm.y,$C320,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0" cm="1">
        <f t="array" ref="J320">_xlfn.LET(
  _xlpm.y,$C320,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0" cm="1">
        <f t="array" ref="K320">_xlfn.LET(
  _xlpm.y,$C320,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0" cm="1">
        <f t="array" ref="L320">_xlfn.LET(
  _xlpm.y,$C320,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0" cm="1">
        <f t="array" ref="M320">_xlfn.SWITCH(TRUE,
  $C320&lt;$Q$5,  $D$22,
  $C320&lt;$Q$6,  $D$23,
  $C320&lt;$Q$7,  $D$24,
  $C320&lt;$Q$8,  $D$25,
  $C320&lt;$Q$9,  $D$26,
  $C320&lt;$Q$10,  $D$27,
  $C320&lt;$Q$11,  $D$28,
  $C320&lt;$Q$12,  $D$29,
  $C320&lt;$Q$13,  $D$30,
  $C320&lt;100,  $D$31,
)</f>
        <v>0</v>
      </c>
      <c r="Q320" s="129"/>
      <c r="R320" s="244" cm="1">
        <f t="array" ref="R320">_xlfn.SWITCH(TRUE,
  $C320&lt;$Q$5,  $S$41*$C320+$T$41,
  $C320&lt;$Q$6,  $S$42*$C320+$T$42,
  $C320&lt;$Q$7,  $S$43*$C320+$T$43,
  $C320&lt;$Q$8, $S$44*$C320+$T$44,
  $C320&lt;$Q$9, $S$45*$C320+$T$45,
  $C320&lt;$Q$10, $S$46*$C320+$T$46,
  $C320&lt;$Q$11,  $S$47*$C320+$T$47,
  $C320&lt;$Q$12, $S$48*$C320+$T$48,
  $S$49*$C320+$T$49
)</f>
        <v>1.1000000000000001</v>
      </c>
      <c r="S320" cm="1">
        <f t="array" ref="S320">_xlfn.SWITCH(TRUE,
  $C320&lt;$Q$5,  $U$41*$C320+$V$41,
  $C320&lt;$Q$6,  $U$42*$C320+$V$42,
  $C320&lt;$Q$7,  $U$43*$C320+$V$43,
  $C320&lt;$Q$8, $U$44*$C320+$V$44,
  $C320&lt;$Q$9, $U$45*$C320+$V$45,
  $C320&lt;$Q$10, $U$46*$C320+$V$46,
  $C320&lt;$Q$11,  $U$47*$C320+$V$47,
  $C320&lt;$Q$12, $U$48*$C320+$V$48,
  $U$49*$C320+$V$49
)</f>
        <v>3.8</v>
      </c>
      <c r="T320">
        <f t="shared" si="21"/>
        <v>1</v>
      </c>
      <c r="U320">
        <f t="shared" si="22"/>
        <v>0</v>
      </c>
      <c r="V320">
        <f t="shared" si="23"/>
        <v>0</v>
      </c>
      <c r="W320">
        <f t="shared" si="24"/>
        <v>0</v>
      </c>
      <c r="X320">
        <f t="shared" si="25"/>
        <v>0</v>
      </c>
      <c r="AE320" cm="1">
        <f t="array" ref="AE320">_xlfn.SWITCH(TRUE,
  $C320&lt;$Q$5,  $U$61*$C320+$V$61,
  $C320&lt;$Q$6,  $U$62*$C320+$V$62,
  $C320&lt;$Q$7,  $U$63*$C320+$V$63,
  $C320&lt;$Q$8, $U$64*$C320+$V$64,
  $C320&lt;$Q$9, $U$65*$C320+$V$65,
  $C320&lt;$Q$10, $U$66*$C320+$V$66,
  $C320&lt;$Q$11,  $U$67*$C320+$V$67,
  $C320&lt;$Q$12, $U$68*$C320+$V$68,
  $U$69*$C320+$V$69
)</f>
        <v>4</v>
      </c>
      <c r="AF320" cm="1">
        <f t="array" ref="AF320">_xlfn.LET(
  _xlpm.y,$C320,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0" cm="1">
        <f t="array" ref="AG320">_xlfn.LET(
  _xlpm.y,$C320,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0" cm="1">
        <f t="array" ref="AH320">_xlfn.LET(
  _xlpm.y,$C320,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0" cm="1">
        <f t="array" ref="AI320">_xlfn.LET(
  _xlpm.y,$C320,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0" cm="1">
        <f t="array" ref="AJ320">_xlfn.LET(
  _xlpm.y,$C320,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0">
        <f t="shared" si="27"/>
        <v>0</v>
      </c>
    </row>
    <row r="321" spans="2:37">
      <c r="B321">
        <f>'主翼(型紙出力)'!B164</f>
        <v>0</v>
      </c>
      <c r="C321">
        <f>'主翼(型紙出力)'!C164</f>
        <v>0</v>
      </c>
      <c r="D321">
        <f>'主翼(型紙出力)'!E164</f>
        <v>0</v>
      </c>
      <c r="E321">
        <f>'主翼(重量推算)'!CE161</f>
        <v>0</v>
      </c>
      <c r="F321" s="244" cm="1">
        <f t="array" ref="F321">_xlfn.SWITCH(TRUE,
  $C321&lt;$Q$5,  $S$22*$C321+$T$22,
  $C321&lt;$Q$6,  $S$23*$C321+$T$23,
  $C321&lt;$Q$7,  $S$24*$C321+$T$24,
  $C321&lt;$Q$8, $S$25*$C321+$T$25,
  $C321&lt;$Q$9, $S$26*$C321+$T$26,
  $C321&lt;$Q$10, $S$27*$C321+$T$27,
  $C321&lt;$Q$11,  $S$28*$C321+$T$28,
  $C321&lt;$Q$12, $S$29*$C321+$T$29,
  $S$30*$C321+$T$30
)</f>
        <v>1.1000000000000001</v>
      </c>
      <c r="G321" cm="1">
        <f t="array" ref="G321">_xlfn.SWITCH(TRUE,
  $C321&lt;$Q$5,  $U$22*$C321+$V$22,
  $C321&lt;$Q$6,  $U$23*$C321+$V$23,
  $C321&lt;$Q$7,  $U$24*$C321+$V$24,
  $C321&lt;$Q$8, $U$25*$C321+$V$25,
  $C321&lt;$Q$9, $U$26*$C321+$V$26,
  $C321&lt;$Q$10, $U$27*$C321+$V$27,
  $C321&lt;$Q$11,  $U$28*$C321+$V$28,
  $C321&lt;$Q$12, $U$29*$C321+$V$29,
  $U$30*$C321+$V$30
)</f>
        <v>3.4</v>
      </c>
      <c r="H321" cm="1">
        <f t="array" ref="H321">_xlfn.LET(
  _xlpm.y,$C321,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1" cm="1">
        <f t="array" ref="I321">_xlfn.LET(
  _xlpm.y,$C321,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1" cm="1">
        <f t="array" ref="J321">_xlfn.LET(
  _xlpm.y,$C321,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1" cm="1">
        <f t="array" ref="K321">_xlfn.LET(
  _xlpm.y,$C321,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1" cm="1">
        <f t="array" ref="L321">_xlfn.LET(
  _xlpm.y,$C321,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1" cm="1">
        <f t="array" ref="M321">_xlfn.SWITCH(TRUE,
  $C321&lt;$Q$5,  $D$22,
  $C321&lt;$Q$6,  $D$23,
  $C321&lt;$Q$7,  $D$24,
  $C321&lt;$Q$8,  $D$25,
  $C321&lt;$Q$9,  $D$26,
  $C321&lt;$Q$10,  $D$27,
  $C321&lt;$Q$11,  $D$28,
  $C321&lt;$Q$12,  $D$29,
  $C321&lt;$Q$13,  $D$30,
  $C321&lt;100,  $D$31,
)</f>
        <v>0</v>
      </c>
      <c r="Q321" s="129"/>
      <c r="R321" s="244" cm="1">
        <f t="array" ref="R321">_xlfn.SWITCH(TRUE,
  $C321&lt;$Q$5,  $S$41*$C321+$T$41,
  $C321&lt;$Q$6,  $S$42*$C321+$T$42,
  $C321&lt;$Q$7,  $S$43*$C321+$T$43,
  $C321&lt;$Q$8, $S$44*$C321+$T$44,
  $C321&lt;$Q$9, $S$45*$C321+$T$45,
  $C321&lt;$Q$10, $S$46*$C321+$T$46,
  $C321&lt;$Q$11,  $S$47*$C321+$T$47,
  $C321&lt;$Q$12, $S$48*$C321+$T$48,
  $S$49*$C321+$T$49
)</f>
        <v>1.1000000000000001</v>
      </c>
      <c r="S321" cm="1">
        <f t="array" ref="S321">_xlfn.SWITCH(TRUE,
  $C321&lt;$Q$5,  $U$41*$C321+$V$41,
  $C321&lt;$Q$6,  $U$42*$C321+$V$42,
  $C321&lt;$Q$7,  $U$43*$C321+$V$43,
  $C321&lt;$Q$8, $U$44*$C321+$V$44,
  $C321&lt;$Q$9, $U$45*$C321+$V$45,
  $C321&lt;$Q$10, $U$46*$C321+$V$46,
  $C321&lt;$Q$11,  $U$47*$C321+$V$47,
  $C321&lt;$Q$12, $U$48*$C321+$V$48,
  $U$49*$C321+$V$49
)</f>
        <v>3.8</v>
      </c>
      <c r="T321">
        <f t="shared" si="21"/>
        <v>1</v>
      </c>
      <c r="U321">
        <f t="shared" si="22"/>
        <v>0</v>
      </c>
      <c r="V321">
        <f t="shared" si="23"/>
        <v>0</v>
      </c>
      <c r="W321">
        <f t="shared" si="24"/>
        <v>0</v>
      </c>
      <c r="X321">
        <f t="shared" si="25"/>
        <v>0</v>
      </c>
      <c r="AE321" cm="1">
        <f t="array" ref="AE321">_xlfn.SWITCH(TRUE,
  $C321&lt;$Q$5,  $U$61*$C321+$V$61,
  $C321&lt;$Q$6,  $U$62*$C321+$V$62,
  $C321&lt;$Q$7,  $U$63*$C321+$V$63,
  $C321&lt;$Q$8, $U$64*$C321+$V$64,
  $C321&lt;$Q$9, $U$65*$C321+$V$65,
  $C321&lt;$Q$10, $U$66*$C321+$V$66,
  $C321&lt;$Q$11,  $U$67*$C321+$V$67,
  $C321&lt;$Q$12, $U$68*$C321+$V$68,
  $U$69*$C321+$V$69
)</f>
        <v>4</v>
      </c>
      <c r="AF321" cm="1">
        <f t="array" ref="AF321">_xlfn.LET(
  _xlpm.y,$C321,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1" cm="1">
        <f t="array" ref="AG321">_xlfn.LET(
  _xlpm.y,$C321,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1" cm="1">
        <f t="array" ref="AH321">_xlfn.LET(
  _xlpm.y,$C321,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1" cm="1">
        <f t="array" ref="AI321">_xlfn.LET(
  _xlpm.y,$C321,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1" cm="1">
        <f t="array" ref="AJ321">_xlfn.LET(
  _xlpm.y,$C321,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1">
        <f t="shared" si="27"/>
        <v>0</v>
      </c>
    </row>
    <row r="322" spans="2:37">
      <c r="B322">
        <f>'主翼(型紙出力)'!B165</f>
        <v>0</v>
      </c>
      <c r="C322">
        <f>'主翼(型紙出力)'!C165</f>
        <v>0</v>
      </c>
      <c r="D322">
        <f>'主翼(型紙出力)'!E165</f>
        <v>0</v>
      </c>
      <c r="E322">
        <f>'主翼(重量推算)'!CE162</f>
        <v>0</v>
      </c>
      <c r="F322" s="244" cm="1">
        <f t="array" ref="F322">_xlfn.SWITCH(TRUE,
  $C322&lt;$Q$5,  $S$22*$C322+$T$22,
  $C322&lt;$Q$6,  $S$23*$C322+$T$23,
  $C322&lt;$Q$7,  $S$24*$C322+$T$24,
  $C322&lt;$Q$8, $S$25*$C322+$T$25,
  $C322&lt;$Q$9, $S$26*$C322+$T$26,
  $C322&lt;$Q$10, $S$27*$C322+$T$27,
  $C322&lt;$Q$11,  $S$28*$C322+$T$28,
  $C322&lt;$Q$12, $S$29*$C322+$T$29,
  $S$30*$C322+$T$30
)</f>
        <v>1.1000000000000001</v>
      </c>
      <c r="G322" cm="1">
        <f t="array" ref="G322">_xlfn.SWITCH(TRUE,
  $C322&lt;$Q$5,  $U$22*$C322+$V$22,
  $C322&lt;$Q$6,  $U$23*$C322+$V$23,
  $C322&lt;$Q$7,  $U$24*$C322+$V$24,
  $C322&lt;$Q$8, $U$25*$C322+$V$25,
  $C322&lt;$Q$9, $U$26*$C322+$V$26,
  $C322&lt;$Q$10, $U$27*$C322+$V$27,
  $C322&lt;$Q$11,  $U$28*$C322+$V$28,
  $C322&lt;$Q$12, $U$29*$C322+$V$29,
  $U$30*$C322+$V$30
)</f>
        <v>3.4</v>
      </c>
      <c r="H322" cm="1">
        <f t="array" ref="H322">_xlfn.LET(
  _xlpm.y,$C322,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2" cm="1">
        <f t="array" ref="I322">_xlfn.LET(
  _xlpm.y,$C322,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2" cm="1">
        <f t="array" ref="J322">_xlfn.LET(
  _xlpm.y,$C322,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2" cm="1">
        <f t="array" ref="K322">_xlfn.LET(
  _xlpm.y,$C322,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2" cm="1">
        <f t="array" ref="L322">_xlfn.LET(
  _xlpm.y,$C322,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2" cm="1">
        <f t="array" ref="M322">_xlfn.SWITCH(TRUE,
  $C322&lt;$Q$5,  $D$22,
  $C322&lt;$Q$6,  $D$23,
  $C322&lt;$Q$7,  $D$24,
  $C322&lt;$Q$8,  $D$25,
  $C322&lt;$Q$9,  $D$26,
  $C322&lt;$Q$10,  $D$27,
  $C322&lt;$Q$11,  $D$28,
  $C322&lt;$Q$12,  $D$29,
  $C322&lt;$Q$13,  $D$30,
  $C322&lt;100,  $D$31,
)</f>
        <v>0</v>
      </c>
      <c r="Q322" s="129"/>
      <c r="R322" s="244" cm="1">
        <f t="array" ref="R322">_xlfn.SWITCH(TRUE,
  $C322&lt;$Q$5,  $S$41*$C322+$T$41,
  $C322&lt;$Q$6,  $S$42*$C322+$T$42,
  $C322&lt;$Q$7,  $S$43*$C322+$T$43,
  $C322&lt;$Q$8, $S$44*$C322+$T$44,
  $C322&lt;$Q$9, $S$45*$C322+$T$45,
  $C322&lt;$Q$10, $S$46*$C322+$T$46,
  $C322&lt;$Q$11,  $S$47*$C322+$T$47,
  $C322&lt;$Q$12, $S$48*$C322+$T$48,
  $S$49*$C322+$T$49
)</f>
        <v>1.1000000000000001</v>
      </c>
      <c r="S322" cm="1">
        <f t="array" ref="S322">_xlfn.SWITCH(TRUE,
  $C322&lt;$Q$5,  $U$41*$C322+$V$41,
  $C322&lt;$Q$6,  $U$42*$C322+$V$42,
  $C322&lt;$Q$7,  $U$43*$C322+$V$43,
  $C322&lt;$Q$8, $U$44*$C322+$V$44,
  $C322&lt;$Q$9, $U$45*$C322+$V$45,
  $C322&lt;$Q$10, $U$46*$C322+$V$46,
  $C322&lt;$Q$11,  $U$47*$C322+$V$47,
  $C322&lt;$Q$12, $U$48*$C322+$V$48,
  $U$49*$C322+$V$49
)</f>
        <v>3.8</v>
      </c>
      <c r="T322">
        <f t="shared" si="21"/>
        <v>1</v>
      </c>
      <c r="U322">
        <f t="shared" si="22"/>
        <v>0</v>
      </c>
      <c r="V322">
        <f t="shared" si="23"/>
        <v>0</v>
      </c>
      <c r="W322">
        <f t="shared" si="24"/>
        <v>0</v>
      </c>
      <c r="X322">
        <f t="shared" si="25"/>
        <v>0</v>
      </c>
      <c r="AE322" cm="1">
        <f t="array" ref="AE322">_xlfn.SWITCH(TRUE,
  $C322&lt;$Q$5,  $U$61*$C322+$V$61,
  $C322&lt;$Q$6,  $U$62*$C322+$V$62,
  $C322&lt;$Q$7,  $U$63*$C322+$V$63,
  $C322&lt;$Q$8, $U$64*$C322+$V$64,
  $C322&lt;$Q$9, $U$65*$C322+$V$65,
  $C322&lt;$Q$10, $U$66*$C322+$V$66,
  $C322&lt;$Q$11,  $U$67*$C322+$V$67,
  $C322&lt;$Q$12, $U$68*$C322+$V$68,
  $U$69*$C322+$V$69
)</f>
        <v>4</v>
      </c>
      <c r="AF322" cm="1">
        <f t="array" ref="AF322">_xlfn.LET(
  _xlpm.y,$C322,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2" cm="1">
        <f t="array" ref="AG322">_xlfn.LET(
  _xlpm.y,$C322,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2" cm="1">
        <f t="array" ref="AH322">_xlfn.LET(
  _xlpm.y,$C322,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2" cm="1">
        <f t="array" ref="AI322">_xlfn.LET(
  _xlpm.y,$C322,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2" cm="1">
        <f t="array" ref="AJ322">_xlfn.LET(
  _xlpm.y,$C322,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2">
        <f t="shared" si="27"/>
        <v>0</v>
      </c>
    </row>
    <row r="323" spans="2:37">
      <c r="B323">
        <f>'主翼(型紙出力)'!B166</f>
        <v>0</v>
      </c>
      <c r="C323">
        <f>'主翼(型紙出力)'!C166</f>
        <v>0</v>
      </c>
      <c r="D323">
        <f>'主翼(型紙出力)'!E166</f>
        <v>0</v>
      </c>
      <c r="E323">
        <f>'主翼(重量推算)'!CE163</f>
        <v>0</v>
      </c>
      <c r="F323" s="244" cm="1">
        <f t="array" ref="F323">_xlfn.SWITCH(TRUE,
  $C323&lt;$Q$5,  $S$22*$C323+$T$22,
  $C323&lt;$Q$6,  $S$23*$C323+$T$23,
  $C323&lt;$Q$7,  $S$24*$C323+$T$24,
  $C323&lt;$Q$8, $S$25*$C323+$T$25,
  $C323&lt;$Q$9, $S$26*$C323+$T$26,
  $C323&lt;$Q$10, $S$27*$C323+$T$27,
  $C323&lt;$Q$11,  $S$28*$C323+$T$28,
  $C323&lt;$Q$12, $S$29*$C323+$T$29,
  $S$30*$C323+$T$30
)</f>
        <v>1.1000000000000001</v>
      </c>
      <c r="G323" cm="1">
        <f t="array" ref="G323">_xlfn.SWITCH(TRUE,
  $C323&lt;$Q$5,  $U$22*$C323+$V$22,
  $C323&lt;$Q$6,  $U$23*$C323+$V$23,
  $C323&lt;$Q$7,  $U$24*$C323+$V$24,
  $C323&lt;$Q$8, $U$25*$C323+$V$25,
  $C323&lt;$Q$9, $U$26*$C323+$V$26,
  $C323&lt;$Q$10, $U$27*$C323+$V$27,
  $C323&lt;$Q$11,  $U$28*$C323+$V$28,
  $C323&lt;$Q$12, $U$29*$C323+$V$29,
  $U$30*$C323+$V$30
)</f>
        <v>3.4</v>
      </c>
      <c r="H323" cm="1">
        <f t="array" ref="H323">_xlfn.LET(
  _xlpm.y,$C323,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3" cm="1">
        <f t="array" ref="I323">_xlfn.LET(
  _xlpm.y,$C323,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3" cm="1">
        <f t="array" ref="J323">_xlfn.LET(
  _xlpm.y,$C323,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3" cm="1">
        <f t="array" ref="K323">_xlfn.LET(
  _xlpm.y,$C323,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3" cm="1">
        <f t="array" ref="L323">_xlfn.LET(
  _xlpm.y,$C323,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3" cm="1">
        <f t="array" ref="M323">_xlfn.SWITCH(TRUE,
  $C323&lt;$Q$5,  $D$22,
  $C323&lt;$Q$6,  $D$23,
  $C323&lt;$Q$7,  $D$24,
  $C323&lt;$Q$8,  $D$25,
  $C323&lt;$Q$9,  $D$26,
  $C323&lt;$Q$10,  $D$27,
  $C323&lt;$Q$11,  $D$28,
  $C323&lt;$Q$12,  $D$29,
  $C323&lt;$Q$13,  $D$30,
  $C323&lt;100,  $D$31,
)</f>
        <v>0</v>
      </c>
      <c r="Q323" s="129"/>
      <c r="R323" s="244" cm="1">
        <f t="array" ref="R323">_xlfn.SWITCH(TRUE,
  $C323&lt;$Q$5,  $S$41*$C323+$T$41,
  $C323&lt;$Q$6,  $S$42*$C323+$T$42,
  $C323&lt;$Q$7,  $S$43*$C323+$T$43,
  $C323&lt;$Q$8, $S$44*$C323+$T$44,
  $C323&lt;$Q$9, $S$45*$C323+$T$45,
  $C323&lt;$Q$10, $S$46*$C323+$T$46,
  $C323&lt;$Q$11,  $S$47*$C323+$T$47,
  $C323&lt;$Q$12, $S$48*$C323+$T$48,
  $S$49*$C323+$T$49
)</f>
        <v>1.1000000000000001</v>
      </c>
      <c r="S323" cm="1">
        <f t="array" ref="S323">_xlfn.SWITCH(TRUE,
  $C323&lt;$Q$5,  $U$41*$C323+$V$41,
  $C323&lt;$Q$6,  $U$42*$C323+$V$42,
  $C323&lt;$Q$7,  $U$43*$C323+$V$43,
  $C323&lt;$Q$8, $U$44*$C323+$V$44,
  $C323&lt;$Q$9, $U$45*$C323+$V$45,
  $C323&lt;$Q$10, $U$46*$C323+$V$46,
  $C323&lt;$Q$11,  $U$47*$C323+$V$47,
  $C323&lt;$Q$12, $U$48*$C323+$V$48,
  $U$49*$C323+$V$49
)</f>
        <v>3.8</v>
      </c>
      <c r="T323">
        <f t="shared" si="21"/>
        <v>1</v>
      </c>
      <c r="U323">
        <f t="shared" si="22"/>
        <v>0</v>
      </c>
      <c r="V323">
        <f t="shared" si="23"/>
        <v>0</v>
      </c>
      <c r="W323">
        <f t="shared" si="24"/>
        <v>0</v>
      </c>
      <c r="X323">
        <f t="shared" si="25"/>
        <v>0</v>
      </c>
      <c r="AE323" cm="1">
        <f t="array" ref="AE323">_xlfn.SWITCH(TRUE,
  $C323&lt;$Q$5,  $U$61*$C323+$V$61,
  $C323&lt;$Q$6,  $U$62*$C323+$V$62,
  $C323&lt;$Q$7,  $U$63*$C323+$V$63,
  $C323&lt;$Q$8, $U$64*$C323+$V$64,
  $C323&lt;$Q$9, $U$65*$C323+$V$65,
  $C323&lt;$Q$10, $U$66*$C323+$V$66,
  $C323&lt;$Q$11,  $U$67*$C323+$V$67,
  $C323&lt;$Q$12, $U$68*$C323+$V$68,
  $U$69*$C323+$V$69
)</f>
        <v>4</v>
      </c>
      <c r="AF323" cm="1">
        <f t="array" ref="AF323">_xlfn.LET(
  _xlpm.y,$C323,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3" cm="1">
        <f t="array" ref="AG323">_xlfn.LET(
  _xlpm.y,$C323,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3" cm="1">
        <f t="array" ref="AH323">_xlfn.LET(
  _xlpm.y,$C323,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3" cm="1">
        <f t="array" ref="AI323">_xlfn.LET(
  _xlpm.y,$C323,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3" cm="1">
        <f t="array" ref="AJ323">_xlfn.LET(
  _xlpm.y,$C323,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3">
        <f t="shared" si="27"/>
        <v>0</v>
      </c>
    </row>
    <row r="324" spans="2:37">
      <c r="B324">
        <f>'主翼(型紙出力)'!B167</f>
        <v>0</v>
      </c>
      <c r="C324">
        <f>'主翼(型紙出力)'!C167</f>
        <v>0</v>
      </c>
      <c r="D324">
        <f>'主翼(型紙出力)'!E167</f>
        <v>0</v>
      </c>
      <c r="E324">
        <f>'主翼(重量推算)'!CE164</f>
        <v>0</v>
      </c>
      <c r="F324" s="244" cm="1">
        <f t="array" ref="F324">_xlfn.SWITCH(TRUE,
  $C324&lt;$Q$5,  $S$22*$C324+$T$22,
  $C324&lt;$Q$6,  $S$23*$C324+$T$23,
  $C324&lt;$Q$7,  $S$24*$C324+$T$24,
  $C324&lt;$Q$8, $S$25*$C324+$T$25,
  $C324&lt;$Q$9, $S$26*$C324+$T$26,
  $C324&lt;$Q$10, $S$27*$C324+$T$27,
  $C324&lt;$Q$11,  $S$28*$C324+$T$28,
  $C324&lt;$Q$12, $S$29*$C324+$T$29,
  $S$30*$C324+$T$30
)</f>
        <v>1.1000000000000001</v>
      </c>
      <c r="G324" cm="1">
        <f t="array" ref="G324">_xlfn.SWITCH(TRUE,
  $C324&lt;$Q$5,  $U$22*$C324+$V$22,
  $C324&lt;$Q$6,  $U$23*$C324+$V$23,
  $C324&lt;$Q$7,  $U$24*$C324+$V$24,
  $C324&lt;$Q$8, $U$25*$C324+$V$25,
  $C324&lt;$Q$9, $U$26*$C324+$V$26,
  $C324&lt;$Q$10, $U$27*$C324+$V$27,
  $C324&lt;$Q$11,  $U$28*$C324+$V$28,
  $C324&lt;$Q$12, $U$29*$C324+$V$29,
  $U$30*$C324+$V$30
)</f>
        <v>3.4</v>
      </c>
      <c r="H324" cm="1">
        <f t="array" ref="H324">_xlfn.LET(
  _xlpm.y,$C324,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4" cm="1">
        <f t="array" ref="I324">_xlfn.LET(
  _xlpm.y,$C324,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4" cm="1">
        <f t="array" ref="J324">_xlfn.LET(
  _xlpm.y,$C324,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4" cm="1">
        <f t="array" ref="K324">_xlfn.LET(
  _xlpm.y,$C324,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4" cm="1">
        <f t="array" ref="L324">_xlfn.LET(
  _xlpm.y,$C324,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4" cm="1">
        <f t="array" ref="M324">_xlfn.SWITCH(TRUE,
  $C324&lt;$Q$5,  $D$22,
  $C324&lt;$Q$6,  $D$23,
  $C324&lt;$Q$7,  $D$24,
  $C324&lt;$Q$8,  $D$25,
  $C324&lt;$Q$9,  $D$26,
  $C324&lt;$Q$10,  $D$27,
  $C324&lt;$Q$11,  $D$28,
  $C324&lt;$Q$12,  $D$29,
  $C324&lt;$Q$13,  $D$30,
  $C324&lt;100,  $D$31,
)</f>
        <v>0</v>
      </c>
      <c r="Q324" s="129"/>
      <c r="R324" s="244" cm="1">
        <f t="array" ref="R324">_xlfn.SWITCH(TRUE,
  $C324&lt;$Q$5,  $S$41*$C324+$T$41,
  $C324&lt;$Q$6,  $S$42*$C324+$T$42,
  $C324&lt;$Q$7,  $S$43*$C324+$T$43,
  $C324&lt;$Q$8, $S$44*$C324+$T$44,
  $C324&lt;$Q$9, $S$45*$C324+$T$45,
  $C324&lt;$Q$10, $S$46*$C324+$T$46,
  $C324&lt;$Q$11,  $S$47*$C324+$T$47,
  $C324&lt;$Q$12, $S$48*$C324+$T$48,
  $S$49*$C324+$T$49
)</f>
        <v>1.1000000000000001</v>
      </c>
      <c r="S324" cm="1">
        <f t="array" ref="S324">_xlfn.SWITCH(TRUE,
  $C324&lt;$Q$5,  $U$41*$C324+$V$41,
  $C324&lt;$Q$6,  $U$42*$C324+$V$42,
  $C324&lt;$Q$7,  $U$43*$C324+$V$43,
  $C324&lt;$Q$8, $U$44*$C324+$V$44,
  $C324&lt;$Q$9, $U$45*$C324+$V$45,
  $C324&lt;$Q$10, $U$46*$C324+$V$46,
  $C324&lt;$Q$11,  $U$47*$C324+$V$47,
  $C324&lt;$Q$12, $U$48*$C324+$V$48,
  $U$49*$C324+$V$49
)</f>
        <v>3.8</v>
      </c>
      <c r="T324">
        <f t="shared" si="21"/>
        <v>1</v>
      </c>
      <c r="U324">
        <f t="shared" si="22"/>
        <v>0</v>
      </c>
      <c r="V324">
        <f t="shared" si="23"/>
        <v>0</v>
      </c>
      <c r="W324">
        <f t="shared" si="24"/>
        <v>0</v>
      </c>
      <c r="X324">
        <f t="shared" si="25"/>
        <v>0</v>
      </c>
      <c r="AE324" cm="1">
        <f t="array" ref="AE324">_xlfn.SWITCH(TRUE,
  $C324&lt;$Q$5,  $U$61*$C324+$V$61,
  $C324&lt;$Q$6,  $U$62*$C324+$V$62,
  $C324&lt;$Q$7,  $U$63*$C324+$V$63,
  $C324&lt;$Q$8, $U$64*$C324+$V$64,
  $C324&lt;$Q$9, $U$65*$C324+$V$65,
  $C324&lt;$Q$10, $U$66*$C324+$V$66,
  $C324&lt;$Q$11,  $U$67*$C324+$V$67,
  $C324&lt;$Q$12, $U$68*$C324+$V$68,
  $U$69*$C324+$V$69
)</f>
        <v>4</v>
      </c>
      <c r="AF324" cm="1">
        <f t="array" ref="AF324">_xlfn.LET(
  _xlpm.y,$C324,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4" cm="1">
        <f t="array" ref="AG324">_xlfn.LET(
  _xlpm.y,$C324,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4" cm="1">
        <f t="array" ref="AH324">_xlfn.LET(
  _xlpm.y,$C324,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4" cm="1">
        <f t="array" ref="AI324">_xlfn.LET(
  _xlpm.y,$C324,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4" cm="1">
        <f t="array" ref="AJ324">_xlfn.LET(
  _xlpm.y,$C324,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4">
        <f t="shared" si="27"/>
        <v>0</v>
      </c>
    </row>
    <row r="325" spans="2:37">
      <c r="B325">
        <f>'主翼(型紙出力)'!B168</f>
        <v>0</v>
      </c>
      <c r="C325">
        <f>'主翼(型紙出力)'!C168</f>
        <v>0</v>
      </c>
      <c r="D325">
        <f>'主翼(型紙出力)'!E168</f>
        <v>0</v>
      </c>
      <c r="E325">
        <f>'主翼(重量推算)'!CE165</f>
        <v>0</v>
      </c>
      <c r="F325" s="244" cm="1">
        <f t="array" ref="F325">_xlfn.SWITCH(TRUE,
  $C325&lt;$Q$5,  $S$22*$C325+$T$22,
  $C325&lt;$Q$6,  $S$23*$C325+$T$23,
  $C325&lt;$Q$7,  $S$24*$C325+$T$24,
  $C325&lt;$Q$8, $S$25*$C325+$T$25,
  $C325&lt;$Q$9, $S$26*$C325+$T$26,
  $C325&lt;$Q$10, $S$27*$C325+$T$27,
  $C325&lt;$Q$11,  $S$28*$C325+$T$28,
  $C325&lt;$Q$12, $S$29*$C325+$T$29,
  $S$30*$C325+$T$30
)</f>
        <v>1.1000000000000001</v>
      </c>
      <c r="G325" cm="1">
        <f t="array" ref="G325">_xlfn.SWITCH(TRUE,
  $C325&lt;$Q$5,  $U$22*$C325+$V$22,
  $C325&lt;$Q$6,  $U$23*$C325+$V$23,
  $C325&lt;$Q$7,  $U$24*$C325+$V$24,
  $C325&lt;$Q$8, $U$25*$C325+$V$25,
  $C325&lt;$Q$9, $U$26*$C325+$V$26,
  $C325&lt;$Q$10, $U$27*$C325+$V$27,
  $C325&lt;$Q$11,  $U$28*$C325+$V$28,
  $C325&lt;$Q$12, $U$29*$C325+$V$29,
  $U$30*$C325+$V$30
)</f>
        <v>3.4</v>
      </c>
      <c r="H325" cm="1">
        <f t="array" ref="H325">_xlfn.LET(
  _xlpm.y,$C325,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5" cm="1">
        <f t="array" ref="I325">_xlfn.LET(
  _xlpm.y,$C325,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5" cm="1">
        <f t="array" ref="J325">_xlfn.LET(
  _xlpm.y,$C325,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5" cm="1">
        <f t="array" ref="K325">_xlfn.LET(
  _xlpm.y,$C325,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5" cm="1">
        <f t="array" ref="L325">_xlfn.LET(
  _xlpm.y,$C325,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5" cm="1">
        <f t="array" ref="M325">_xlfn.SWITCH(TRUE,
  $C325&lt;$Q$5,  $D$22,
  $C325&lt;$Q$6,  $D$23,
  $C325&lt;$Q$7,  $D$24,
  $C325&lt;$Q$8,  $D$25,
  $C325&lt;$Q$9,  $D$26,
  $C325&lt;$Q$10,  $D$27,
  $C325&lt;$Q$11,  $D$28,
  $C325&lt;$Q$12,  $D$29,
  $C325&lt;$Q$13,  $D$30,
  $C325&lt;100,  $D$31,
)</f>
        <v>0</v>
      </c>
      <c r="Q325" s="129"/>
      <c r="R325" s="244" cm="1">
        <f t="array" ref="R325">_xlfn.SWITCH(TRUE,
  $C325&lt;$Q$5,  $S$41*$C325+$T$41,
  $C325&lt;$Q$6,  $S$42*$C325+$T$42,
  $C325&lt;$Q$7,  $S$43*$C325+$T$43,
  $C325&lt;$Q$8, $S$44*$C325+$T$44,
  $C325&lt;$Q$9, $S$45*$C325+$T$45,
  $C325&lt;$Q$10, $S$46*$C325+$T$46,
  $C325&lt;$Q$11,  $S$47*$C325+$T$47,
  $C325&lt;$Q$12, $S$48*$C325+$T$48,
  $S$49*$C325+$T$49
)</f>
        <v>1.1000000000000001</v>
      </c>
      <c r="S325" cm="1">
        <f t="array" ref="S325">_xlfn.SWITCH(TRUE,
  $C325&lt;$Q$5,  $U$41*$C325+$V$41,
  $C325&lt;$Q$6,  $U$42*$C325+$V$42,
  $C325&lt;$Q$7,  $U$43*$C325+$V$43,
  $C325&lt;$Q$8, $U$44*$C325+$V$44,
  $C325&lt;$Q$9, $U$45*$C325+$V$45,
  $C325&lt;$Q$10, $U$46*$C325+$V$46,
  $C325&lt;$Q$11,  $U$47*$C325+$V$47,
  $C325&lt;$Q$12, $U$48*$C325+$V$48,
  $U$49*$C325+$V$49
)</f>
        <v>3.8</v>
      </c>
      <c r="T325">
        <f t="shared" si="21"/>
        <v>1</v>
      </c>
      <c r="U325">
        <f t="shared" si="22"/>
        <v>0</v>
      </c>
      <c r="V325">
        <f t="shared" si="23"/>
        <v>0</v>
      </c>
      <c r="W325">
        <f t="shared" si="24"/>
        <v>0</v>
      </c>
      <c r="X325">
        <f t="shared" si="25"/>
        <v>0</v>
      </c>
      <c r="AE325" cm="1">
        <f t="array" ref="AE325">_xlfn.SWITCH(TRUE,
  $C325&lt;$Q$5,  $U$61*$C325+$V$61,
  $C325&lt;$Q$6,  $U$62*$C325+$V$62,
  $C325&lt;$Q$7,  $U$63*$C325+$V$63,
  $C325&lt;$Q$8, $U$64*$C325+$V$64,
  $C325&lt;$Q$9, $U$65*$C325+$V$65,
  $C325&lt;$Q$10, $U$66*$C325+$V$66,
  $C325&lt;$Q$11,  $U$67*$C325+$V$67,
  $C325&lt;$Q$12, $U$68*$C325+$V$68,
  $U$69*$C325+$V$69
)</f>
        <v>4</v>
      </c>
      <c r="AF325" cm="1">
        <f t="array" ref="AF325">_xlfn.LET(
  _xlpm.y,$C325,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5" cm="1">
        <f t="array" ref="AG325">_xlfn.LET(
  _xlpm.y,$C325,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5" cm="1">
        <f t="array" ref="AH325">_xlfn.LET(
  _xlpm.y,$C325,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5" cm="1">
        <f t="array" ref="AI325">_xlfn.LET(
  _xlpm.y,$C325,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5" cm="1">
        <f t="array" ref="AJ325">_xlfn.LET(
  _xlpm.y,$C325,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5">
        <f t="shared" si="27"/>
        <v>0</v>
      </c>
    </row>
    <row r="326" spans="2:37">
      <c r="B326">
        <f>'主翼(型紙出力)'!B169</f>
        <v>0</v>
      </c>
      <c r="C326">
        <f>'主翼(型紙出力)'!C169</f>
        <v>0</v>
      </c>
      <c r="D326">
        <f>'主翼(型紙出力)'!E169</f>
        <v>0</v>
      </c>
      <c r="E326">
        <f>'主翼(重量推算)'!CE166</f>
        <v>0</v>
      </c>
      <c r="F326" s="244" cm="1">
        <f t="array" ref="F326">_xlfn.SWITCH(TRUE,
  $C326&lt;$Q$5,  $S$22*$C326+$T$22,
  $C326&lt;$Q$6,  $S$23*$C326+$T$23,
  $C326&lt;$Q$7,  $S$24*$C326+$T$24,
  $C326&lt;$Q$8, $S$25*$C326+$T$25,
  $C326&lt;$Q$9, $S$26*$C326+$T$26,
  $C326&lt;$Q$10, $S$27*$C326+$T$27,
  $C326&lt;$Q$11,  $S$28*$C326+$T$28,
  $C326&lt;$Q$12, $S$29*$C326+$T$29,
  $S$30*$C326+$T$30
)</f>
        <v>1.1000000000000001</v>
      </c>
      <c r="G326" cm="1">
        <f t="array" ref="G326">_xlfn.SWITCH(TRUE,
  $C326&lt;$Q$5,  $U$22*$C326+$V$22,
  $C326&lt;$Q$6,  $U$23*$C326+$V$23,
  $C326&lt;$Q$7,  $U$24*$C326+$V$24,
  $C326&lt;$Q$8, $U$25*$C326+$V$25,
  $C326&lt;$Q$9, $U$26*$C326+$V$26,
  $C326&lt;$Q$10, $U$27*$C326+$V$27,
  $C326&lt;$Q$11,  $U$28*$C326+$V$28,
  $C326&lt;$Q$12, $U$29*$C326+$V$29,
  $U$30*$C326+$V$30
)</f>
        <v>3.4</v>
      </c>
      <c r="H326" cm="1">
        <f t="array" ref="H326">_xlfn.LET(
  _xlpm.y,$C326,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6" cm="1">
        <f t="array" ref="I326">_xlfn.LET(
  _xlpm.y,$C326,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6" cm="1">
        <f t="array" ref="J326">_xlfn.LET(
  _xlpm.y,$C326,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6" cm="1">
        <f t="array" ref="K326">_xlfn.LET(
  _xlpm.y,$C326,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6" cm="1">
        <f t="array" ref="L326">_xlfn.LET(
  _xlpm.y,$C326,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6" cm="1">
        <f t="array" ref="M326">_xlfn.SWITCH(TRUE,
  $C326&lt;$Q$5,  $D$22,
  $C326&lt;$Q$6,  $D$23,
  $C326&lt;$Q$7,  $D$24,
  $C326&lt;$Q$8,  $D$25,
  $C326&lt;$Q$9,  $D$26,
  $C326&lt;$Q$10,  $D$27,
  $C326&lt;$Q$11,  $D$28,
  $C326&lt;$Q$12,  $D$29,
  $C326&lt;$Q$13,  $D$30,
  $C326&lt;100,  $D$31,
)</f>
        <v>0</v>
      </c>
      <c r="Q326" s="129"/>
      <c r="R326" s="244" cm="1">
        <f t="array" ref="R326">_xlfn.SWITCH(TRUE,
  $C326&lt;$Q$5,  $S$41*$C326+$T$41,
  $C326&lt;$Q$6,  $S$42*$C326+$T$42,
  $C326&lt;$Q$7,  $S$43*$C326+$T$43,
  $C326&lt;$Q$8, $S$44*$C326+$T$44,
  $C326&lt;$Q$9, $S$45*$C326+$T$45,
  $C326&lt;$Q$10, $S$46*$C326+$T$46,
  $C326&lt;$Q$11,  $S$47*$C326+$T$47,
  $C326&lt;$Q$12, $S$48*$C326+$T$48,
  $S$49*$C326+$T$49
)</f>
        <v>1.1000000000000001</v>
      </c>
      <c r="S326" cm="1">
        <f t="array" ref="S326">_xlfn.SWITCH(TRUE,
  $C326&lt;$Q$5,  $U$41*$C326+$V$41,
  $C326&lt;$Q$6,  $U$42*$C326+$V$42,
  $C326&lt;$Q$7,  $U$43*$C326+$V$43,
  $C326&lt;$Q$8, $U$44*$C326+$V$44,
  $C326&lt;$Q$9, $U$45*$C326+$V$45,
  $C326&lt;$Q$10, $U$46*$C326+$V$46,
  $C326&lt;$Q$11,  $U$47*$C326+$V$47,
  $C326&lt;$Q$12, $U$48*$C326+$V$48,
  $U$49*$C326+$V$49
)</f>
        <v>3.8</v>
      </c>
      <c r="T326">
        <f t="shared" si="21"/>
        <v>1</v>
      </c>
      <c r="U326">
        <f t="shared" si="22"/>
        <v>0</v>
      </c>
      <c r="V326">
        <f t="shared" si="23"/>
        <v>0</v>
      </c>
      <c r="W326">
        <f t="shared" si="24"/>
        <v>0</v>
      </c>
      <c r="X326">
        <f t="shared" si="25"/>
        <v>0</v>
      </c>
      <c r="AE326" cm="1">
        <f t="array" ref="AE326">_xlfn.SWITCH(TRUE,
  $C326&lt;$Q$5,  $U$61*$C326+$V$61,
  $C326&lt;$Q$6,  $U$62*$C326+$V$62,
  $C326&lt;$Q$7,  $U$63*$C326+$V$63,
  $C326&lt;$Q$8, $U$64*$C326+$V$64,
  $C326&lt;$Q$9, $U$65*$C326+$V$65,
  $C326&lt;$Q$10, $U$66*$C326+$V$66,
  $C326&lt;$Q$11,  $U$67*$C326+$V$67,
  $C326&lt;$Q$12, $U$68*$C326+$V$68,
  $U$69*$C326+$V$69
)</f>
        <v>4</v>
      </c>
      <c r="AF326" cm="1">
        <f t="array" ref="AF326">_xlfn.LET(
  _xlpm.y,$C326,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6" cm="1">
        <f t="array" ref="AG326">_xlfn.LET(
  _xlpm.y,$C326,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6" cm="1">
        <f t="array" ref="AH326">_xlfn.LET(
  _xlpm.y,$C326,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6" cm="1">
        <f t="array" ref="AI326">_xlfn.LET(
  _xlpm.y,$C326,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6" cm="1">
        <f t="array" ref="AJ326">_xlfn.LET(
  _xlpm.y,$C326,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6">
        <f t="shared" si="27"/>
        <v>0</v>
      </c>
    </row>
    <row r="327" spans="2:37">
      <c r="B327">
        <f>'主翼(型紙出力)'!B170</f>
        <v>0</v>
      </c>
      <c r="C327">
        <f>'主翼(型紙出力)'!C170</f>
        <v>0</v>
      </c>
      <c r="D327">
        <f>'主翼(型紙出力)'!E170</f>
        <v>0</v>
      </c>
      <c r="E327">
        <f>'主翼(重量推算)'!CE167</f>
        <v>0</v>
      </c>
      <c r="F327" s="244" cm="1">
        <f t="array" ref="F327">_xlfn.SWITCH(TRUE,
  $C327&lt;$Q$5,  $S$22*$C327+$T$22,
  $C327&lt;$Q$6,  $S$23*$C327+$T$23,
  $C327&lt;$Q$7,  $S$24*$C327+$T$24,
  $C327&lt;$Q$8, $S$25*$C327+$T$25,
  $C327&lt;$Q$9, $S$26*$C327+$T$26,
  $C327&lt;$Q$10, $S$27*$C327+$T$27,
  $C327&lt;$Q$11,  $S$28*$C327+$T$28,
  $C327&lt;$Q$12, $S$29*$C327+$T$29,
  $S$30*$C327+$T$30
)</f>
        <v>1.1000000000000001</v>
      </c>
      <c r="G327" cm="1">
        <f t="array" ref="G327">_xlfn.SWITCH(TRUE,
  $C327&lt;$Q$5,  $U$22*$C327+$V$22,
  $C327&lt;$Q$6,  $U$23*$C327+$V$23,
  $C327&lt;$Q$7,  $U$24*$C327+$V$24,
  $C327&lt;$Q$8, $U$25*$C327+$V$25,
  $C327&lt;$Q$9, $U$26*$C327+$V$26,
  $C327&lt;$Q$10, $U$27*$C327+$V$27,
  $C327&lt;$Q$11,  $U$28*$C327+$V$28,
  $C327&lt;$Q$12, $U$29*$C327+$V$29,
  $U$30*$C327+$V$30
)</f>
        <v>3.4</v>
      </c>
      <c r="H327" cm="1">
        <f t="array" ref="H327">_xlfn.LET(
  _xlpm.y,$C327,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7" cm="1">
        <f t="array" ref="I327">_xlfn.LET(
  _xlpm.y,$C327,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7" cm="1">
        <f t="array" ref="J327">_xlfn.LET(
  _xlpm.y,$C327,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7" cm="1">
        <f t="array" ref="K327">_xlfn.LET(
  _xlpm.y,$C327,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7" cm="1">
        <f t="array" ref="L327">_xlfn.LET(
  _xlpm.y,$C327,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7" cm="1">
        <f t="array" ref="M327">_xlfn.SWITCH(TRUE,
  $C327&lt;$Q$5,  $D$22,
  $C327&lt;$Q$6,  $D$23,
  $C327&lt;$Q$7,  $D$24,
  $C327&lt;$Q$8,  $D$25,
  $C327&lt;$Q$9,  $D$26,
  $C327&lt;$Q$10,  $D$27,
  $C327&lt;$Q$11,  $D$28,
  $C327&lt;$Q$12,  $D$29,
  $C327&lt;$Q$13,  $D$30,
  $C327&lt;100,  $D$31,
)</f>
        <v>0</v>
      </c>
      <c r="Q327" s="129"/>
      <c r="R327" s="244" cm="1">
        <f t="array" ref="R327">_xlfn.SWITCH(TRUE,
  $C327&lt;$Q$5,  $S$41*$C327+$T$41,
  $C327&lt;$Q$6,  $S$42*$C327+$T$42,
  $C327&lt;$Q$7,  $S$43*$C327+$T$43,
  $C327&lt;$Q$8, $S$44*$C327+$T$44,
  $C327&lt;$Q$9, $S$45*$C327+$T$45,
  $C327&lt;$Q$10, $S$46*$C327+$T$46,
  $C327&lt;$Q$11,  $S$47*$C327+$T$47,
  $C327&lt;$Q$12, $S$48*$C327+$T$48,
  $S$49*$C327+$T$49
)</f>
        <v>1.1000000000000001</v>
      </c>
      <c r="S327" cm="1">
        <f t="array" ref="S327">_xlfn.SWITCH(TRUE,
  $C327&lt;$Q$5,  $U$41*$C327+$V$41,
  $C327&lt;$Q$6,  $U$42*$C327+$V$42,
  $C327&lt;$Q$7,  $U$43*$C327+$V$43,
  $C327&lt;$Q$8, $U$44*$C327+$V$44,
  $C327&lt;$Q$9, $U$45*$C327+$V$45,
  $C327&lt;$Q$10, $U$46*$C327+$V$46,
  $C327&lt;$Q$11,  $U$47*$C327+$V$47,
  $C327&lt;$Q$12, $U$48*$C327+$V$48,
  $U$49*$C327+$V$49
)</f>
        <v>3.8</v>
      </c>
      <c r="T327">
        <f t="shared" si="21"/>
        <v>1</v>
      </c>
      <c r="U327">
        <f t="shared" si="22"/>
        <v>0</v>
      </c>
      <c r="V327">
        <f t="shared" si="23"/>
        <v>0</v>
      </c>
      <c r="W327">
        <f t="shared" si="24"/>
        <v>0</v>
      </c>
      <c r="X327">
        <f t="shared" si="25"/>
        <v>0</v>
      </c>
      <c r="AE327" cm="1">
        <f t="array" ref="AE327">_xlfn.SWITCH(TRUE,
  $C327&lt;$Q$5,  $U$61*$C327+$V$61,
  $C327&lt;$Q$6,  $U$62*$C327+$V$62,
  $C327&lt;$Q$7,  $U$63*$C327+$V$63,
  $C327&lt;$Q$8, $U$64*$C327+$V$64,
  $C327&lt;$Q$9, $U$65*$C327+$V$65,
  $C327&lt;$Q$10, $U$66*$C327+$V$66,
  $C327&lt;$Q$11,  $U$67*$C327+$V$67,
  $C327&lt;$Q$12, $U$68*$C327+$V$68,
  $U$69*$C327+$V$69
)</f>
        <v>4</v>
      </c>
      <c r="AF327" cm="1">
        <f t="array" ref="AF327">_xlfn.LET(
  _xlpm.y,$C327,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7" cm="1">
        <f t="array" ref="AG327">_xlfn.LET(
  _xlpm.y,$C327,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7" cm="1">
        <f t="array" ref="AH327">_xlfn.LET(
  _xlpm.y,$C327,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7" cm="1">
        <f t="array" ref="AI327">_xlfn.LET(
  _xlpm.y,$C327,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7" cm="1">
        <f t="array" ref="AJ327">_xlfn.LET(
  _xlpm.y,$C327,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7">
        <f t="shared" si="27"/>
        <v>0</v>
      </c>
    </row>
    <row r="328" spans="2:37">
      <c r="B328">
        <f>'主翼(型紙出力)'!B171</f>
        <v>0</v>
      </c>
      <c r="C328">
        <f>'主翼(型紙出力)'!C171</f>
        <v>0</v>
      </c>
      <c r="D328">
        <f>'主翼(型紙出力)'!E171</f>
        <v>0</v>
      </c>
      <c r="E328">
        <f>'主翼(重量推算)'!CE168</f>
        <v>0</v>
      </c>
      <c r="F328" s="244" cm="1">
        <f t="array" ref="F328">_xlfn.SWITCH(TRUE,
  $C328&lt;$Q$5,  $S$22*$C328+$T$22,
  $C328&lt;$Q$6,  $S$23*$C328+$T$23,
  $C328&lt;$Q$7,  $S$24*$C328+$T$24,
  $C328&lt;$Q$8, $S$25*$C328+$T$25,
  $C328&lt;$Q$9, $S$26*$C328+$T$26,
  $C328&lt;$Q$10, $S$27*$C328+$T$27,
  $C328&lt;$Q$11,  $S$28*$C328+$T$28,
  $C328&lt;$Q$12, $S$29*$C328+$T$29,
  $S$30*$C328+$T$30
)</f>
        <v>1.1000000000000001</v>
      </c>
      <c r="G328" cm="1">
        <f t="array" ref="G328">_xlfn.SWITCH(TRUE,
  $C328&lt;$Q$5,  $U$22*$C328+$V$22,
  $C328&lt;$Q$6,  $U$23*$C328+$V$23,
  $C328&lt;$Q$7,  $U$24*$C328+$V$24,
  $C328&lt;$Q$8, $U$25*$C328+$V$25,
  $C328&lt;$Q$9, $U$26*$C328+$V$26,
  $C328&lt;$Q$10, $U$27*$C328+$V$27,
  $C328&lt;$Q$11,  $U$28*$C328+$V$28,
  $C328&lt;$Q$12, $U$29*$C328+$V$29,
  $U$30*$C328+$V$30
)</f>
        <v>3.4</v>
      </c>
      <c r="H328" cm="1">
        <f t="array" ref="H328">_xlfn.LET(
  _xlpm.y,$C328,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8" cm="1">
        <f t="array" ref="I328">_xlfn.LET(
  _xlpm.y,$C328,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8" cm="1">
        <f t="array" ref="J328">_xlfn.LET(
  _xlpm.y,$C328,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8" cm="1">
        <f t="array" ref="K328">_xlfn.LET(
  _xlpm.y,$C328,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8" cm="1">
        <f t="array" ref="L328">_xlfn.LET(
  _xlpm.y,$C328,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8" cm="1">
        <f t="array" ref="M328">_xlfn.SWITCH(TRUE,
  $C328&lt;$Q$5,  $D$22,
  $C328&lt;$Q$6,  $D$23,
  $C328&lt;$Q$7,  $D$24,
  $C328&lt;$Q$8,  $D$25,
  $C328&lt;$Q$9,  $D$26,
  $C328&lt;$Q$10,  $D$27,
  $C328&lt;$Q$11,  $D$28,
  $C328&lt;$Q$12,  $D$29,
  $C328&lt;$Q$13,  $D$30,
  $C328&lt;100,  $D$31,
)</f>
        <v>0</v>
      </c>
      <c r="Q328" s="129"/>
      <c r="R328" s="244" cm="1">
        <f t="array" ref="R328">_xlfn.SWITCH(TRUE,
  $C328&lt;$Q$5,  $S$41*$C328+$T$41,
  $C328&lt;$Q$6,  $S$42*$C328+$T$42,
  $C328&lt;$Q$7,  $S$43*$C328+$T$43,
  $C328&lt;$Q$8, $S$44*$C328+$T$44,
  $C328&lt;$Q$9, $S$45*$C328+$T$45,
  $C328&lt;$Q$10, $S$46*$C328+$T$46,
  $C328&lt;$Q$11,  $S$47*$C328+$T$47,
  $C328&lt;$Q$12, $S$48*$C328+$T$48,
  $S$49*$C328+$T$49
)</f>
        <v>1.1000000000000001</v>
      </c>
      <c r="S328" cm="1">
        <f t="array" ref="S328">_xlfn.SWITCH(TRUE,
  $C328&lt;$Q$5,  $U$41*$C328+$V$41,
  $C328&lt;$Q$6,  $U$42*$C328+$V$42,
  $C328&lt;$Q$7,  $U$43*$C328+$V$43,
  $C328&lt;$Q$8, $U$44*$C328+$V$44,
  $C328&lt;$Q$9, $U$45*$C328+$V$45,
  $C328&lt;$Q$10, $U$46*$C328+$V$46,
  $C328&lt;$Q$11,  $U$47*$C328+$V$47,
  $C328&lt;$Q$12, $U$48*$C328+$V$48,
  $U$49*$C328+$V$49
)</f>
        <v>3.8</v>
      </c>
      <c r="T328">
        <f t="shared" si="21"/>
        <v>1</v>
      </c>
      <c r="U328">
        <f t="shared" si="22"/>
        <v>0</v>
      </c>
      <c r="V328">
        <f t="shared" si="23"/>
        <v>0</v>
      </c>
      <c r="W328">
        <f t="shared" si="24"/>
        <v>0</v>
      </c>
      <c r="X328">
        <f t="shared" si="25"/>
        <v>0</v>
      </c>
      <c r="AE328" cm="1">
        <f t="array" ref="AE328">_xlfn.SWITCH(TRUE,
  $C328&lt;$Q$5,  $U$61*$C328+$V$61,
  $C328&lt;$Q$6,  $U$62*$C328+$V$62,
  $C328&lt;$Q$7,  $U$63*$C328+$V$63,
  $C328&lt;$Q$8, $U$64*$C328+$V$64,
  $C328&lt;$Q$9, $U$65*$C328+$V$65,
  $C328&lt;$Q$10, $U$66*$C328+$V$66,
  $C328&lt;$Q$11,  $U$67*$C328+$V$67,
  $C328&lt;$Q$12, $U$68*$C328+$V$68,
  $U$69*$C328+$V$69
)</f>
        <v>4</v>
      </c>
      <c r="AF328" cm="1">
        <f t="array" ref="AF328">_xlfn.LET(
  _xlpm.y,$C328,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8" cm="1">
        <f t="array" ref="AG328">_xlfn.LET(
  _xlpm.y,$C328,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8" cm="1">
        <f t="array" ref="AH328">_xlfn.LET(
  _xlpm.y,$C328,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8" cm="1">
        <f t="array" ref="AI328">_xlfn.LET(
  _xlpm.y,$C328,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8" cm="1">
        <f t="array" ref="AJ328">_xlfn.LET(
  _xlpm.y,$C328,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8">
        <f t="shared" si="27"/>
        <v>0</v>
      </c>
    </row>
    <row r="329" spans="2:37">
      <c r="B329">
        <f>'主翼(型紙出力)'!B172</f>
        <v>0</v>
      </c>
      <c r="C329">
        <f>'主翼(型紙出力)'!C172</f>
        <v>0</v>
      </c>
      <c r="D329">
        <f>'主翼(型紙出力)'!E172</f>
        <v>0</v>
      </c>
      <c r="E329">
        <f>'主翼(重量推算)'!CE169</f>
        <v>0</v>
      </c>
      <c r="F329" s="244" cm="1">
        <f t="array" ref="F329">_xlfn.SWITCH(TRUE,
  $C329&lt;$Q$5,  $S$22*$C329+$T$22,
  $C329&lt;$Q$6,  $S$23*$C329+$T$23,
  $C329&lt;$Q$7,  $S$24*$C329+$T$24,
  $C329&lt;$Q$8, $S$25*$C329+$T$25,
  $C329&lt;$Q$9, $S$26*$C329+$T$26,
  $C329&lt;$Q$10, $S$27*$C329+$T$27,
  $C329&lt;$Q$11,  $S$28*$C329+$T$28,
  $C329&lt;$Q$12, $S$29*$C329+$T$29,
  $S$30*$C329+$T$30
)</f>
        <v>1.1000000000000001</v>
      </c>
      <c r="G329" cm="1">
        <f t="array" ref="G329">_xlfn.SWITCH(TRUE,
  $C329&lt;$Q$5,  $U$22*$C329+$V$22,
  $C329&lt;$Q$6,  $U$23*$C329+$V$23,
  $C329&lt;$Q$7,  $U$24*$C329+$V$24,
  $C329&lt;$Q$8, $U$25*$C329+$V$25,
  $C329&lt;$Q$9, $U$26*$C329+$V$26,
  $C329&lt;$Q$10, $U$27*$C329+$V$27,
  $C329&lt;$Q$11,  $U$28*$C329+$V$28,
  $C329&lt;$Q$12, $U$29*$C329+$V$29,
  $U$30*$C329+$V$30
)</f>
        <v>3.4</v>
      </c>
      <c r="H329" cm="1">
        <f t="array" ref="H329">_xlfn.LET(
  _xlpm.y,$C329,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9" cm="1">
        <f t="array" ref="I329">_xlfn.LET(
  _xlpm.y,$C329,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9" cm="1">
        <f t="array" ref="J329">_xlfn.LET(
  _xlpm.y,$C329,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9" cm="1">
        <f t="array" ref="K329">_xlfn.LET(
  _xlpm.y,$C329,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9" cm="1">
        <f t="array" ref="L329">_xlfn.LET(
  _xlpm.y,$C329,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9" cm="1">
        <f t="array" ref="M329">_xlfn.SWITCH(TRUE,
  $C329&lt;$Q$5,  $D$22,
  $C329&lt;$Q$6,  $D$23,
  $C329&lt;$Q$7,  $D$24,
  $C329&lt;$Q$8,  $D$25,
  $C329&lt;$Q$9,  $D$26,
  $C329&lt;$Q$10,  $D$27,
  $C329&lt;$Q$11,  $D$28,
  $C329&lt;$Q$12,  $D$29,
  $C329&lt;$Q$13,  $D$30,
  $C329&lt;100,  $D$31,
)</f>
        <v>0</v>
      </c>
      <c r="Q329" s="129"/>
      <c r="R329" s="244" cm="1">
        <f t="array" ref="R329">_xlfn.SWITCH(TRUE,
  $C329&lt;$Q$5,  $S$41*$C329+$T$41,
  $C329&lt;$Q$6,  $S$42*$C329+$T$42,
  $C329&lt;$Q$7,  $S$43*$C329+$T$43,
  $C329&lt;$Q$8, $S$44*$C329+$T$44,
  $C329&lt;$Q$9, $S$45*$C329+$T$45,
  $C329&lt;$Q$10, $S$46*$C329+$T$46,
  $C329&lt;$Q$11,  $S$47*$C329+$T$47,
  $C329&lt;$Q$12, $S$48*$C329+$T$48,
  $S$49*$C329+$T$49
)</f>
        <v>1.1000000000000001</v>
      </c>
      <c r="S329" cm="1">
        <f t="array" ref="S329">_xlfn.SWITCH(TRUE,
  $C329&lt;$Q$5,  $U$41*$C329+$V$41,
  $C329&lt;$Q$6,  $U$42*$C329+$V$42,
  $C329&lt;$Q$7,  $U$43*$C329+$V$43,
  $C329&lt;$Q$8, $U$44*$C329+$V$44,
  $C329&lt;$Q$9, $U$45*$C329+$V$45,
  $C329&lt;$Q$10, $U$46*$C329+$V$46,
  $C329&lt;$Q$11,  $U$47*$C329+$V$47,
  $C329&lt;$Q$12, $U$48*$C329+$V$48,
  $U$49*$C329+$V$49
)</f>
        <v>3.8</v>
      </c>
      <c r="T329">
        <f t="shared" si="21"/>
        <v>1</v>
      </c>
      <c r="U329">
        <f t="shared" si="22"/>
        <v>0</v>
      </c>
      <c r="V329">
        <f t="shared" si="23"/>
        <v>0</v>
      </c>
      <c r="W329">
        <f t="shared" si="24"/>
        <v>0</v>
      </c>
      <c r="X329">
        <f t="shared" si="25"/>
        <v>0</v>
      </c>
      <c r="AE329" cm="1">
        <f t="array" ref="AE329">_xlfn.SWITCH(TRUE,
  $C329&lt;$Q$5,  $U$61*$C329+$V$61,
  $C329&lt;$Q$6,  $U$62*$C329+$V$62,
  $C329&lt;$Q$7,  $U$63*$C329+$V$63,
  $C329&lt;$Q$8, $U$64*$C329+$V$64,
  $C329&lt;$Q$9, $U$65*$C329+$V$65,
  $C329&lt;$Q$10, $U$66*$C329+$V$66,
  $C329&lt;$Q$11,  $U$67*$C329+$V$67,
  $C329&lt;$Q$12, $U$68*$C329+$V$68,
  $U$69*$C329+$V$69
)</f>
        <v>4</v>
      </c>
      <c r="AF329" cm="1">
        <f t="array" ref="AF329">_xlfn.LET(
  _xlpm.y,$C329,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9" cm="1">
        <f t="array" ref="AG329">_xlfn.LET(
  _xlpm.y,$C329,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9" cm="1">
        <f t="array" ref="AH329">_xlfn.LET(
  _xlpm.y,$C329,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9" cm="1">
        <f t="array" ref="AI329">_xlfn.LET(
  _xlpm.y,$C329,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9" cm="1">
        <f t="array" ref="AJ329">_xlfn.LET(
  _xlpm.y,$C329,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9">
        <f t="shared" si="27"/>
        <v>0</v>
      </c>
    </row>
    <row r="330" spans="2:37">
      <c r="B330">
        <f>'主翼(型紙出力)'!B173</f>
        <v>0</v>
      </c>
      <c r="C330">
        <f>'主翼(型紙出力)'!C173</f>
        <v>0</v>
      </c>
      <c r="D330">
        <f>'主翼(型紙出力)'!E173</f>
        <v>0</v>
      </c>
      <c r="E330">
        <f>'主翼(重量推算)'!CE170</f>
        <v>0</v>
      </c>
      <c r="F330" s="244" cm="1">
        <f t="array" ref="F330">_xlfn.SWITCH(TRUE,
  $C330&lt;$Q$5,  $S$22*$C330+$T$22,
  $C330&lt;$Q$6,  $S$23*$C330+$T$23,
  $C330&lt;$Q$7,  $S$24*$C330+$T$24,
  $C330&lt;$Q$8, $S$25*$C330+$T$25,
  $C330&lt;$Q$9, $S$26*$C330+$T$26,
  $C330&lt;$Q$10, $S$27*$C330+$T$27,
  $C330&lt;$Q$11,  $S$28*$C330+$T$28,
  $C330&lt;$Q$12, $S$29*$C330+$T$29,
  $S$30*$C330+$T$30
)</f>
        <v>1.1000000000000001</v>
      </c>
      <c r="G330" cm="1">
        <f t="array" ref="G330">_xlfn.SWITCH(TRUE,
  $C330&lt;$Q$5,  $U$22*$C330+$V$22,
  $C330&lt;$Q$6,  $U$23*$C330+$V$23,
  $C330&lt;$Q$7,  $U$24*$C330+$V$24,
  $C330&lt;$Q$8, $U$25*$C330+$V$25,
  $C330&lt;$Q$9, $U$26*$C330+$V$26,
  $C330&lt;$Q$10, $U$27*$C330+$V$27,
  $C330&lt;$Q$11,  $U$28*$C330+$V$28,
  $C330&lt;$Q$12, $U$29*$C330+$V$29,
  $U$30*$C330+$V$30
)</f>
        <v>3.4</v>
      </c>
      <c r="H330" cm="1">
        <f t="array" ref="H330">_xlfn.LET(
  _xlpm.y,$C330,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0" cm="1">
        <f t="array" ref="I330">_xlfn.LET(
  _xlpm.y,$C330,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0" cm="1">
        <f t="array" ref="J330">_xlfn.LET(
  _xlpm.y,$C330,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0" cm="1">
        <f t="array" ref="K330">_xlfn.LET(
  _xlpm.y,$C330,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0" cm="1">
        <f t="array" ref="L330">_xlfn.LET(
  _xlpm.y,$C330,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0" cm="1">
        <f t="array" ref="M330">_xlfn.SWITCH(TRUE,
  $C330&lt;$Q$5,  $D$22,
  $C330&lt;$Q$6,  $D$23,
  $C330&lt;$Q$7,  $D$24,
  $C330&lt;$Q$8,  $D$25,
  $C330&lt;$Q$9,  $D$26,
  $C330&lt;$Q$10,  $D$27,
  $C330&lt;$Q$11,  $D$28,
  $C330&lt;$Q$12,  $D$29,
  $C330&lt;$Q$13,  $D$30,
  $C330&lt;100,  $D$31,
)</f>
        <v>0</v>
      </c>
      <c r="Q330" s="129"/>
      <c r="R330" s="244" cm="1">
        <f t="array" ref="R330">_xlfn.SWITCH(TRUE,
  $C330&lt;$Q$5,  $S$41*$C330+$T$41,
  $C330&lt;$Q$6,  $S$42*$C330+$T$42,
  $C330&lt;$Q$7,  $S$43*$C330+$T$43,
  $C330&lt;$Q$8, $S$44*$C330+$T$44,
  $C330&lt;$Q$9, $S$45*$C330+$T$45,
  $C330&lt;$Q$10, $S$46*$C330+$T$46,
  $C330&lt;$Q$11,  $S$47*$C330+$T$47,
  $C330&lt;$Q$12, $S$48*$C330+$T$48,
  $S$49*$C330+$T$49
)</f>
        <v>1.1000000000000001</v>
      </c>
      <c r="S330" cm="1">
        <f t="array" ref="S330">_xlfn.SWITCH(TRUE,
  $C330&lt;$Q$5,  $U$41*$C330+$V$41,
  $C330&lt;$Q$6,  $U$42*$C330+$V$42,
  $C330&lt;$Q$7,  $U$43*$C330+$V$43,
  $C330&lt;$Q$8, $U$44*$C330+$V$44,
  $C330&lt;$Q$9, $U$45*$C330+$V$45,
  $C330&lt;$Q$10, $U$46*$C330+$V$46,
  $C330&lt;$Q$11,  $U$47*$C330+$V$47,
  $C330&lt;$Q$12, $U$48*$C330+$V$48,
  $U$49*$C330+$V$49
)</f>
        <v>3.8</v>
      </c>
      <c r="T330">
        <f t="shared" si="21"/>
        <v>1</v>
      </c>
      <c r="U330">
        <f t="shared" si="22"/>
        <v>0</v>
      </c>
      <c r="V330">
        <f t="shared" si="23"/>
        <v>0</v>
      </c>
      <c r="W330">
        <f t="shared" si="24"/>
        <v>0</v>
      </c>
      <c r="X330">
        <f t="shared" si="25"/>
        <v>0</v>
      </c>
      <c r="AE330" cm="1">
        <f t="array" ref="AE330">_xlfn.SWITCH(TRUE,
  $C330&lt;$Q$5,  $U$61*$C330+$V$61,
  $C330&lt;$Q$6,  $U$62*$C330+$V$62,
  $C330&lt;$Q$7,  $U$63*$C330+$V$63,
  $C330&lt;$Q$8, $U$64*$C330+$V$64,
  $C330&lt;$Q$9, $U$65*$C330+$V$65,
  $C330&lt;$Q$10, $U$66*$C330+$V$66,
  $C330&lt;$Q$11,  $U$67*$C330+$V$67,
  $C330&lt;$Q$12, $U$68*$C330+$V$68,
  $U$69*$C330+$V$69
)</f>
        <v>4</v>
      </c>
      <c r="AF330" cm="1">
        <f t="array" ref="AF330">_xlfn.LET(
  _xlpm.y,$C330,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30" cm="1">
        <f t="array" ref="AG330">_xlfn.LET(
  _xlpm.y,$C330,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30" cm="1">
        <f t="array" ref="AH330">_xlfn.LET(
  _xlpm.y,$C330,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30" cm="1">
        <f t="array" ref="AI330">_xlfn.LET(
  _xlpm.y,$C330,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30" cm="1">
        <f t="array" ref="AJ330">_xlfn.LET(
  _xlpm.y,$C330,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30">
        <f t="shared" si="27"/>
        <v>0</v>
      </c>
    </row>
    <row r="331" spans="2:37">
      <c r="B331">
        <f>'主翼(型紙出力)'!B174</f>
        <v>0</v>
      </c>
      <c r="C331">
        <f>'主翼(型紙出力)'!C174</f>
        <v>0</v>
      </c>
      <c r="D331">
        <f>'主翼(型紙出力)'!E174</f>
        <v>0</v>
      </c>
      <c r="E331">
        <f>'主翼(重量推算)'!CE171</f>
        <v>0</v>
      </c>
      <c r="F331" s="244" cm="1">
        <f t="array" ref="F331">_xlfn.SWITCH(TRUE,
  $C331&lt;$Q$5,  $S$22*$C331+$T$22,
  $C331&lt;$Q$6,  $S$23*$C331+$T$23,
  $C331&lt;$Q$7,  $S$24*$C331+$T$24,
  $C331&lt;$Q$8, $S$25*$C331+$T$25,
  $C331&lt;$Q$9, $S$26*$C331+$T$26,
  $C331&lt;$Q$10, $S$27*$C331+$T$27,
  $C331&lt;$Q$11,  $S$28*$C331+$T$28,
  $C331&lt;$Q$12, $S$29*$C331+$T$29,
  $S$30*$C331+$T$30
)</f>
        <v>1.1000000000000001</v>
      </c>
      <c r="G331" cm="1">
        <f t="array" ref="G331">_xlfn.SWITCH(TRUE,
  $C331&lt;$Q$5,  $U$22*$C331+$V$22,
  $C331&lt;$Q$6,  $U$23*$C331+$V$23,
  $C331&lt;$Q$7,  $U$24*$C331+$V$24,
  $C331&lt;$Q$8, $U$25*$C331+$V$25,
  $C331&lt;$Q$9, $U$26*$C331+$V$26,
  $C331&lt;$Q$10, $U$27*$C331+$V$27,
  $C331&lt;$Q$11,  $U$28*$C331+$V$28,
  $C331&lt;$Q$12, $U$29*$C331+$V$29,
  $U$30*$C331+$V$30
)</f>
        <v>3.4</v>
      </c>
      <c r="H331" cm="1">
        <f t="array" ref="H331">_xlfn.LET(
  _xlpm.y,$C331,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1" cm="1">
        <f t="array" ref="I331">_xlfn.LET(
  _xlpm.y,$C331,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1" cm="1">
        <f t="array" ref="J331">_xlfn.LET(
  _xlpm.y,$C331,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1" cm="1">
        <f t="array" ref="K331">_xlfn.LET(
  _xlpm.y,$C331,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1" cm="1">
        <f t="array" ref="L331">_xlfn.LET(
  _xlpm.y,$C331,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1" cm="1">
        <f t="array" ref="M331">_xlfn.SWITCH(TRUE,
  $C331&lt;$Q$5,  $D$22,
  $C331&lt;$Q$6,  $D$23,
  $C331&lt;$Q$7,  $D$24,
  $C331&lt;$Q$8,  $D$25,
  $C331&lt;$Q$9,  $D$26,
  $C331&lt;$Q$10,  $D$27,
  $C331&lt;$Q$11,  $D$28,
  $C331&lt;$Q$12,  $D$29,
  $C331&lt;$Q$13,  $D$30,
  $C331&lt;100,  $D$31,
)</f>
        <v>0</v>
      </c>
      <c r="Q331" s="129"/>
      <c r="R331" s="244" cm="1">
        <f t="array" ref="R331">_xlfn.SWITCH(TRUE,
  $C331&lt;$Q$5,  $S$41*$C331+$T$41,
  $C331&lt;$Q$6,  $S$42*$C331+$T$42,
  $C331&lt;$Q$7,  $S$43*$C331+$T$43,
  $C331&lt;$Q$8, $S$44*$C331+$T$44,
  $C331&lt;$Q$9, $S$45*$C331+$T$45,
  $C331&lt;$Q$10, $S$46*$C331+$T$46,
  $C331&lt;$Q$11,  $S$47*$C331+$T$47,
  $C331&lt;$Q$12, $S$48*$C331+$T$48,
  $S$49*$C331+$T$49
)</f>
        <v>1.1000000000000001</v>
      </c>
      <c r="S331" cm="1">
        <f t="array" ref="S331">_xlfn.SWITCH(TRUE,
  $C331&lt;$Q$5,  $U$41*$C331+$V$41,
  $C331&lt;$Q$6,  $U$42*$C331+$V$42,
  $C331&lt;$Q$7,  $U$43*$C331+$V$43,
  $C331&lt;$Q$8, $U$44*$C331+$V$44,
  $C331&lt;$Q$9, $U$45*$C331+$V$45,
  $C331&lt;$Q$10, $U$46*$C331+$V$46,
  $C331&lt;$Q$11,  $U$47*$C331+$V$47,
  $C331&lt;$Q$12, $U$48*$C331+$V$48,
  $U$49*$C331+$V$49
)</f>
        <v>3.8</v>
      </c>
      <c r="T331">
        <f t="shared" si="21"/>
        <v>1</v>
      </c>
      <c r="U331">
        <f t="shared" si="22"/>
        <v>0</v>
      </c>
      <c r="V331">
        <f t="shared" si="23"/>
        <v>0</v>
      </c>
      <c r="W331">
        <f t="shared" si="24"/>
        <v>0</v>
      </c>
      <c r="X331">
        <f t="shared" si="25"/>
        <v>0</v>
      </c>
      <c r="AE331" cm="1">
        <f t="array" ref="AE331">_xlfn.SWITCH(TRUE,
  $C331&lt;$Q$5,  $U$61*$C331+$V$61,
  $C331&lt;$Q$6,  $U$62*$C331+$V$62,
  $C331&lt;$Q$7,  $U$63*$C331+$V$63,
  $C331&lt;$Q$8, $U$64*$C331+$V$64,
  $C331&lt;$Q$9, $U$65*$C331+$V$65,
  $C331&lt;$Q$10, $U$66*$C331+$V$66,
  $C331&lt;$Q$11,  $U$67*$C331+$V$67,
  $C331&lt;$Q$12, $U$68*$C331+$V$68,
  $U$69*$C331+$V$69
)</f>
        <v>4</v>
      </c>
      <c r="AF331" cm="1">
        <f t="array" ref="AF331">_xlfn.LET(
  _xlpm.y,$C331,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31" cm="1">
        <f t="array" ref="AG331">_xlfn.LET(
  _xlpm.y,$C331,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31" cm="1">
        <f t="array" ref="AH331">_xlfn.LET(
  _xlpm.y,$C331,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31" cm="1">
        <f t="array" ref="AI331">_xlfn.LET(
  _xlpm.y,$C331,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31" cm="1">
        <f t="array" ref="AJ331">_xlfn.LET(
  _xlpm.y,$C331,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31">
        <f t="shared" si="27"/>
        <v>0</v>
      </c>
    </row>
    <row r="332" spans="2:37">
      <c r="B332">
        <f>'主翼(型紙出力)'!B175</f>
        <v>0</v>
      </c>
      <c r="C332">
        <f>'主翼(型紙出力)'!C175</f>
        <v>0</v>
      </c>
      <c r="D332">
        <f>'主翼(型紙出力)'!E175</f>
        <v>0</v>
      </c>
      <c r="E332">
        <f>'主翼(重量推算)'!CE172</f>
        <v>0</v>
      </c>
      <c r="F332" s="244" cm="1">
        <f t="array" ref="F332">_xlfn.SWITCH(TRUE,
  $C332&lt;$Q$5,  $S$22*$C332+$T$22,
  $C332&lt;$Q$6,  $S$23*$C332+$T$23,
  $C332&lt;$Q$7,  $S$24*$C332+$T$24,
  $C332&lt;$Q$8, $S$25*$C332+$T$25,
  $C332&lt;$Q$9, $S$26*$C332+$T$26,
  $C332&lt;$Q$10, $S$27*$C332+$T$27,
  $C332&lt;$Q$11,  $S$28*$C332+$T$28,
  $C332&lt;$Q$12, $S$29*$C332+$T$29,
  $S$30*$C332+$T$30
)</f>
        <v>1.1000000000000001</v>
      </c>
      <c r="G332" cm="1">
        <f t="array" ref="G332">_xlfn.SWITCH(TRUE,
  $C332&lt;$Q$5,  $U$22*$C332+$V$22,
  $C332&lt;$Q$6,  $U$23*$C332+$V$23,
  $C332&lt;$Q$7,  $U$24*$C332+$V$24,
  $C332&lt;$Q$8, $U$25*$C332+$V$25,
  $C332&lt;$Q$9, $U$26*$C332+$V$26,
  $C332&lt;$Q$10, $U$27*$C332+$V$27,
  $C332&lt;$Q$11,  $U$28*$C332+$V$28,
  $C332&lt;$Q$12, $U$29*$C332+$V$29,
  $U$30*$C332+$V$30
)</f>
        <v>3.4</v>
      </c>
      <c r="H332" cm="1">
        <f t="array" ref="H332">_xlfn.LET(
  _xlpm.y,$C332,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2" cm="1">
        <f t="array" ref="I332">_xlfn.LET(
  _xlpm.y,$C332,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2" cm="1">
        <f t="array" ref="J332">_xlfn.LET(
  _xlpm.y,$C332,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2" cm="1">
        <f t="array" ref="K332">_xlfn.LET(
  _xlpm.y,$C332,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2" cm="1">
        <f t="array" ref="L332">_xlfn.LET(
  _xlpm.y,$C332,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2" cm="1">
        <f t="array" ref="M332">_xlfn.SWITCH(TRUE,
  $C332&lt;$Q$5,  $D$22,
  $C332&lt;$Q$6,  $D$23,
  $C332&lt;$Q$7,  $D$24,
  $C332&lt;$Q$8,  $D$25,
  $C332&lt;$Q$9,  $D$26,
  $C332&lt;$Q$10,  $D$27,
  $C332&lt;$Q$11,  $D$28,
  $C332&lt;$Q$12,  $D$29,
  $C332&lt;$Q$13,  $D$30,
  $C332&lt;100,  $D$31,
)</f>
        <v>0</v>
      </c>
      <c r="Q332" s="129"/>
      <c r="R332" s="244" cm="1">
        <f t="array" ref="R332">_xlfn.SWITCH(TRUE,
  $C332&lt;$Q$5,  $S$41*$C332+$T$41,
  $C332&lt;$Q$6,  $S$42*$C332+$T$42,
  $C332&lt;$Q$7,  $S$43*$C332+$T$43,
  $C332&lt;$Q$8, $S$44*$C332+$T$44,
  $C332&lt;$Q$9, $S$45*$C332+$T$45,
  $C332&lt;$Q$10, $S$46*$C332+$T$46,
  $C332&lt;$Q$11,  $S$47*$C332+$T$47,
  $C332&lt;$Q$12, $S$48*$C332+$T$48,
  $S$49*$C332+$T$49
)</f>
        <v>1.1000000000000001</v>
      </c>
      <c r="S332" cm="1">
        <f t="array" ref="S332">_xlfn.SWITCH(TRUE,
  $C332&lt;$Q$5,  $U$41*$C332+$V$41,
  $C332&lt;$Q$6,  $U$42*$C332+$V$42,
  $C332&lt;$Q$7,  $U$43*$C332+$V$43,
  $C332&lt;$Q$8, $U$44*$C332+$V$44,
  $C332&lt;$Q$9, $U$45*$C332+$V$45,
  $C332&lt;$Q$10, $U$46*$C332+$V$46,
  $C332&lt;$Q$11,  $U$47*$C332+$V$47,
  $C332&lt;$Q$12, $U$48*$C332+$V$48,
  $U$49*$C332+$V$49
)</f>
        <v>3.8</v>
      </c>
      <c r="T332">
        <f t="shared" si="21"/>
        <v>1</v>
      </c>
      <c r="U332">
        <f t="shared" si="22"/>
        <v>0</v>
      </c>
      <c r="V332">
        <f t="shared" si="23"/>
        <v>0</v>
      </c>
      <c r="W332">
        <f t="shared" si="24"/>
        <v>0</v>
      </c>
      <c r="X332">
        <f t="shared" si="25"/>
        <v>0</v>
      </c>
      <c r="AE332" cm="1">
        <f t="array" ref="AE332">_xlfn.SWITCH(TRUE,
  $C332&lt;$Q$5,  $U$61*$C332+$V$61,
  $C332&lt;$Q$6,  $U$62*$C332+$V$62,
  $C332&lt;$Q$7,  $U$63*$C332+$V$63,
  $C332&lt;$Q$8, $U$64*$C332+$V$64,
  $C332&lt;$Q$9, $U$65*$C332+$V$65,
  $C332&lt;$Q$10, $U$66*$C332+$V$66,
  $C332&lt;$Q$11,  $U$67*$C332+$V$67,
  $C332&lt;$Q$12, $U$68*$C332+$V$68,
  $U$69*$C332+$V$69
)</f>
        <v>4</v>
      </c>
      <c r="AF332" cm="1">
        <f t="array" ref="AF332">_xlfn.LET(
  _xlpm.y,$C332,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32" cm="1">
        <f t="array" ref="AG332">_xlfn.LET(
  _xlpm.y,$C332,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32" cm="1">
        <f t="array" ref="AH332">_xlfn.LET(
  _xlpm.y,$C332,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32" cm="1">
        <f t="array" ref="AI332">_xlfn.LET(
  _xlpm.y,$C332,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32" cm="1">
        <f t="array" ref="AJ332">_xlfn.LET(
  _xlpm.y,$C332,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32">
        <f t="shared" si="27"/>
        <v>0</v>
      </c>
    </row>
    <row r="333" spans="2:37">
      <c r="B333">
        <f>'主翼(型紙出力)'!B176</f>
        <v>0</v>
      </c>
      <c r="C333">
        <f>'主翼(型紙出力)'!C176</f>
        <v>0</v>
      </c>
      <c r="D333">
        <f>'主翼(型紙出力)'!E176</f>
        <v>0</v>
      </c>
      <c r="E333">
        <f>'主翼(重量推算)'!CE173</f>
        <v>0</v>
      </c>
      <c r="F333" s="244" cm="1">
        <f t="array" ref="F333">_xlfn.SWITCH(TRUE,
  $C333&lt;$Q$5,  $S$22*$C333+$T$22,
  $C333&lt;$Q$6,  $S$23*$C333+$T$23,
  $C333&lt;$Q$7,  $S$24*$C333+$T$24,
  $C333&lt;$Q$8, $S$25*$C333+$T$25,
  $C333&lt;$Q$9, $S$26*$C333+$T$26,
  $C333&lt;$Q$10, $S$27*$C333+$T$27,
  $C333&lt;$Q$11,  $S$28*$C333+$T$28,
  $C333&lt;$Q$12, $S$29*$C333+$T$29,
  $S$30*$C333+$T$30
)</f>
        <v>1.1000000000000001</v>
      </c>
      <c r="G333" cm="1">
        <f t="array" ref="G333">_xlfn.SWITCH(TRUE,
  $C333&lt;$Q$5,  $U$22*$C333+$V$22,
  $C333&lt;$Q$6,  $U$23*$C333+$V$23,
  $C333&lt;$Q$7,  $U$24*$C333+$V$24,
  $C333&lt;$Q$8, $U$25*$C333+$V$25,
  $C333&lt;$Q$9, $U$26*$C333+$V$26,
  $C333&lt;$Q$10, $U$27*$C333+$V$27,
  $C333&lt;$Q$11,  $U$28*$C333+$V$28,
  $C333&lt;$Q$12, $U$29*$C333+$V$29,
  $U$30*$C333+$V$30
)</f>
        <v>3.4</v>
      </c>
      <c r="H333" cm="1">
        <f t="array" ref="H333">_xlfn.LET(
  _xlpm.y,$C333,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3" cm="1">
        <f t="array" ref="I333">_xlfn.LET(
  _xlpm.y,$C333,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3" cm="1">
        <f t="array" ref="J333">_xlfn.LET(
  _xlpm.y,$C333,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3" cm="1">
        <f t="array" ref="K333">_xlfn.LET(
  _xlpm.y,$C333,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3" cm="1">
        <f t="array" ref="L333">_xlfn.LET(
  _xlpm.y,$C333,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3" cm="1">
        <f t="array" ref="M333">_xlfn.SWITCH(TRUE,
  $C333&lt;$Q$5,  $D$22,
  $C333&lt;$Q$6,  $D$23,
  $C333&lt;$Q$7,  $D$24,
  $C333&lt;$Q$8,  $D$25,
  $C333&lt;$Q$9,  $D$26,
  $C333&lt;$Q$10,  $D$27,
  $C333&lt;$Q$11,  $D$28,
  $C333&lt;$Q$12,  $D$29,
  $C333&lt;$Q$13,  $D$30,
  $C333&lt;100,  $D$31,
)</f>
        <v>0</v>
      </c>
      <c r="Q333" s="129"/>
      <c r="R333" s="244" cm="1">
        <f t="array" ref="R333">_xlfn.SWITCH(TRUE,
  $C333&lt;$Q$5,  $S$41*$C333+$T$41,
  $C333&lt;$Q$6,  $S$42*$C333+$T$42,
  $C333&lt;$Q$7,  $S$43*$C333+$T$43,
  $C333&lt;$Q$8, $S$44*$C333+$T$44,
  $C333&lt;$Q$9, $S$45*$C333+$T$45,
  $C333&lt;$Q$10, $S$46*$C333+$T$46,
  $C333&lt;$Q$11,  $S$47*$C333+$T$47,
  $C333&lt;$Q$12, $S$48*$C333+$T$48,
  $S$49*$C333+$T$49
)</f>
        <v>1.1000000000000001</v>
      </c>
      <c r="S333" cm="1">
        <f t="array" ref="S333">_xlfn.SWITCH(TRUE,
  $C333&lt;$Q$5,  $U$41*$C333+$V$41,
  $C333&lt;$Q$6,  $U$42*$C333+$V$42,
  $C333&lt;$Q$7,  $U$43*$C333+$V$43,
  $C333&lt;$Q$8, $U$44*$C333+$V$44,
  $C333&lt;$Q$9, $U$45*$C333+$V$45,
  $C333&lt;$Q$10, $U$46*$C333+$V$46,
  $C333&lt;$Q$11,  $U$47*$C333+$V$47,
  $C333&lt;$Q$12, $U$48*$C333+$V$48,
  $U$49*$C333+$V$49
)</f>
        <v>3.8</v>
      </c>
      <c r="AE333" cm="1">
        <f t="array" ref="AE333">_xlfn.SWITCH(TRUE,
  $C333&lt;$Q$5,  $U$61*$C333+$V$61,
  $C333&lt;$Q$6,  $U$62*$C333+$V$62,
  $C333&lt;$Q$7,  $U$63*$C333+$V$63,
  $C333&lt;$Q$8, $U$64*$C333+$V$64,
  $C333&lt;$Q$9, $U$65*$C333+$V$65,
  $C333&lt;$Q$10, $U$66*$C333+$V$66,
  $C333&lt;$Q$11,  $U$67*$C333+$V$67,
  $C333&lt;$Q$12, $U$68*$C333+$V$68,
  $U$69*$C333+$V$69
)</f>
        <v>4</v>
      </c>
      <c r="AF333" cm="1">
        <f t="array" ref="AF333">_xlfn.LET(
  _xlpm.y,$C333,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33" cm="1">
        <f t="array" ref="AG333">_xlfn.LET(
  _xlpm.y,$C333,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33" cm="1">
        <f t="array" ref="AH333">_xlfn.LET(
  _xlpm.y,$C333,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33" cm="1">
        <f t="array" ref="AI333">_xlfn.LET(
  _xlpm.y,$C333,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33" cm="1">
        <f t="array" ref="AJ333">_xlfn.LET(
  _xlpm.y,$C333,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33">
        <f t="shared" si="27"/>
        <v>0</v>
      </c>
    </row>
    <row r="334" spans="2:37">
      <c r="B334">
        <f>'主翼(型紙出力)'!B177</f>
        <v>0</v>
      </c>
      <c r="C334">
        <f>'主翼(型紙出力)'!C177</f>
        <v>0</v>
      </c>
      <c r="D334">
        <f>'主翼(型紙出力)'!E177</f>
        <v>0</v>
      </c>
      <c r="E334">
        <f>'主翼(重量推算)'!CE174</f>
        <v>0</v>
      </c>
      <c r="F334" s="244" cm="1">
        <f t="array" ref="F334">_xlfn.SWITCH(TRUE,
  $C334&lt;$Q$5,  $S$22*$C334+$T$22,
  $C334&lt;$Q$6,  $S$23*$C334+$T$23,
  $C334&lt;$Q$7,  $S$24*$C334+$T$24,
  $C334&lt;$Q$8, $S$25*$C334+$T$25,
  $C334&lt;$Q$9, $S$26*$C334+$T$26,
  $C334&lt;$Q$10, $S$27*$C334+$T$27,
  $C334&lt;$Q$11,  $S$28*$C334+$T$28,
  $C334&lt;$Q$12, $S$29*$C334+$T$29,
  $S$30*$C334+$T$30
)</f>
        <v>1.1000000000000001</v>
      </c>
      <c r="G334" cm="1">
        <f t="array" ref="G334">_xlfn.SWITCH(TRUE,
  $C334&lt;$Q$5,  $U$22*$C334+$V$22,
  $C334&lt;$Q$6,  $U$23*$C334+$V$23,
  $C334&lt;$Q$7,  $U$24*$C334+$V$24,
  $C334&lt;$Q$8, $U$25*$C334+$V$25,
  $C334&lt;$Q$9, $U$26*$C334+$V$26,
  $C334&lt;$Q$10, $U$27*$C334+$V$27,
  $C334&lt;$Q$11,  $U$28*$C334+$V$28,
  $C334&lt;$Q$12, $U$29*$C334+$V$29,
  $U$30*$C334+$V$30
)</f>
        <v>3.4</v>
      </c>
      <c r="H334" cm="1">
        <f t="array" ref="H334">_xlfn.LET(
  _xlpm.y,$C334,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4" cm="1">
        <f t="array" ref="I334">_xlfn.LET(
  _xlpm.y,$C334,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4" cm="1">
        <f t="array" ref="J334">_xlfn.LET(
  _xlpm.y,$C334,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4" cm="1">
        <f t="array" ref="K334">_xlfn.LET(
  _xlpm.y,$C334,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4" cm="1">
        <f t="array" ref="L334">_xlfn.LET(
  _xlpm.y,$C334,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4" cm="1">
        <f t="array" ref="M334">_xlfn.SWITCH(TRUE,
  $C334&lt;$Q$5,  $D$22,
  $C334&lt;$Q$6,  $D$23,
  $C334&lt;$Q$7,  $D$24,
  $C334&lt;$Q$8,  $D$25,
  $C334&lt;$Q$9,  $D$26,
  $C334&lt;$Q$10,  $D$27,
  $C334&lt;$Q$11,  $D$28,
  $C334&lt;$Q$12,  $D$29,
  $C334&lt;$Q$13,  $D$30,
  $C334&lt;100,  $D$31,
)</f>
        <v>0</v>
      </c>
      <c r="Q334" s="129"/>
      <c r="R334" s="244" cm="1">
        <f t="array" ref="R334">_xlfn.SWITCH(TRUE,
  $C334&lt;$Q$5,  $S$41*$C334+$T$41,
  $C334&lt;$Q$6,  $S$42*$C334+$T$42,
  $C334&lt;$Q$7,  $S$43*$C334+$T$43,
  $C334&lt;$Q$8, $S$44*$C334+$T$44,
  $C334&lt;$Q$9, $S$45*$C334+$T$45,
  $C334&lt;$Q$10, $S$46*$C334+$T$46,
  $C334&lt;$Q$11,  $S$47*$C334+$T$47,
  $C334&lt;$Q$12, $S$48*$C334+$T$48,
  $S$49*$C334+$T$49
)</f>
        <v>1.1000000000000001</v>
      </c>
      <c r="S334" cm="1">
        <f t="array" ref="S334">_xlfn.SWITCH(TRUE,
  $C334&lt;$Q$5,  $U$41*$C334+$V$41,
  $C334&lt;$Q$6,  $U$42*$C334+$V$42,
  $C334&lt;$Q$7,  $U$43*$C334+$V$43,
  $C334&lt;$Q$8, $U$44*$C334+$V$44,
  $C334&lt;$Q$9, $U$45*$C334+$V$45,
  $C334&lt;$Q$10, $U$46*$C334+$V$46,
  $C334&lt;$Q$11,  $U$47*$C334+$V$47,
  $C334&lt;$Q$12, $U$48*$C334+$V$48,
  $U$49*$C334+$V$49
)</f>
        <v>3.8</v>
      </c>
      <c r="AE334" cm="1">
        <f t="array" ref="AE334">_xlfn.SWITCH(TRUE,
  $C334&lt;$Q$5,  $U$61*$C334+$V$61,
  $C334&lt;$Q$6,  $U$62*$C334+$V$62,
  $C334&lt;$Q$7,  $U$63*$C334+$V$63,
  $C334&lt;$Q$8, $U$64*$C334+$V$64,
  $C334&lt;$Q$9, $U$65*$C334+$V$65,
  $C334&lt;$Q$10, $U$66*$C334+$V$66,
  $C334&lt;$Q$11,  $U$67*$C334+$V$67,
  $C334&lt;$Q$12, $U$68*$C334+$V$68,
  $U$69*$C334+$V$69
)</f>
        <v>4</v>
      </c>
    </row>
    <row r="335" spans="2:37">
      <c r="B335">
        <f>'主翼(型紙出力)'!B178</f>
        <v>0</v>
      </c>
      <c r="C335">
        <f>'主翼(型紙出力)'!C178</f>
        <v>0</v>
      </c>
      <c r="D335">
        <f>'主翼(型紙出力)'!E178</f>
        <v>0</v>
      </c>
      <c r="E335">
        <f>'主翼(重量推算)'!CE175</f>
        <v>0</v>
      </c>
      <c r="F335" s="244" cm="1">
        <f t="array" ref="F335">_xlfn.SWITCH(TRUE,
  $C335&lt;$Q$5,  $S$22*$C335+$T$22,
  $C335&lt;$Q$6,  $S$23*$C335+$T$23,
  $C335&lt;$Q$7,  $S$24*$C335+$T$24,
  $C335&lt;$Q$8, $S$25*$C335+$T$25,
  $C335&lt;$Q$9, $S$26*$C335+$T$26,
  $C335&lt;$Q$10, $S$27*$C335+$T$27,
  $C335&lt;$Q$11,  $S$28*$C335+$T$28,
  $C335&lt;$Q$12, $S$29*$C335+$T$29,
  $S$30*$C335+$T$30
)</f>
        <v>1.1000000000000001</v>
      </c>
      <c r="G335" cm="1">
        <f t="array" ref="G335">_xlfn.SWITCH(TRUE,
  $C335&lt;$Q$5,  $U$22*$C335+$V$22,
  $C335&lt;$Q$6,  $U$23*$C335+$V$23,
  $C335&lt;$Q$7,  $U$24*$C335+$V$24,
  $C335&lt;$Q$8, $U$25*$C335+$V$25,
  $C335&lt;$Q$9, $U$26*$C335+$V$26,
  $C335&lt;$Q$10, $U$27*$C335+$V$27,
  $C335&lt;$Q$11,  $U$28*$C335+$V$28,
  $C335&lt;$Q$12, $U$29*$C335+$V$29,
  $U$30*$C335+$V$30
)</f>
        <v>3.4</v>
      </c>
      <c r="H335" cm="1">
        <f t="array" ref="H335">_xlfn.LET(
  _xlpm.y,$C335,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5" cm="1">
        <f t="array" ref="I335">_xlfn.LET(
  _xlpm.y,$C335,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5" cm="1">
        <f t="array" ref="J335">_xlfn.LET(
  _xlpm.y,$C335,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5" cm="1">
        <f t="array" ref="K335">_xlfn.LET(
  _xlpm.y,$C335,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5" cm="1">
        <f t="array" ref="L335">_xlfn.LET(
  _xlpm.y,$C335,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5" cm="1">
        <f t="array" ref="M335">_xlfn.SWITCH(TRUE,
  $C335&lt;$Q$5,  $D$22,
  $C335&lt;$Q$6,  $D$23,
  $C335&lt;$Q$7,  $D$24,
  $C335&lt;$Q$8,  $D$25,
  $C335&lt;$Q$9,  $D$26,
  $C335&lt;$Q$10,  $D$27,
  $C335&lt;$Q$11,  $D$28,
  $C335&lt;$Q$12,  $D$29,
  $C335&lt;$Q$13,  $D$30,
  $C335&lt;100,  $D$31,
)</f>
        <v>0</v>
      </c>
      <c r="Q335" s="129"/>
      <c r="R335" s="244" cm="1">
        <f t="array" ref="R335">_xlfn.SWITCH(TRUE,
  $C335&lt;$Q$5,  $S$41*$C335+$T$41,
  $C335&lt;$Q$6,  $S$42*$C335+$T$42,
  $C335&lt;$Q$7,  $S$43*$C335+$T$43,
  $C335&lt;$Q$8, $S$44*$C335+$T$44,
  $C335&lt;$Q$9, $S$45*$C335+$T$45,
  $C335&lt;$Q$10, $S$46*$C335+$T$46,
  $C335&lt;$Q$11,  $S$47*$C335+$T$47,
  $C335&lt;$Q$12, $S$48*$C335+$T$48,
  $S$49*$C335+$T$49
)</f>
        <v>1.1000000000000001</v>
      </c>
      <c r="S335" cm="1">
        <f t="array" ref="S335">_xlfn.SWITCH(TRUE,
  $C335&lt;$Q$5,  $U$41*$C335+$V$41,
  $C335&lt;$Q$6,  $U$42*$C335+$V$42,
  $C335&lt;$Q$7,  $U$43*$C335+$V$43,
  $C335&lt;$Q$8, $U$44*$C335+$V$44,
  $C335&lt;$Q$9, $U$45*$C335+$V$45,
  $C335&lt;$Q$10, $U$46*$C335+$V$46,
  $C335&lt;$Q$11,  $U$47*$C335+$V$47,
  $C335&lt;$Q$12, $U$48*$C335+$V$48,
  $U$49*$C335+$V$49
)</f>
        <v>3.8</v>
      </c>
      <c r="AE335" cm="1">
        <f t="array" ref="AE335">_xlfn.SWITCH(TRUE,
  $C335&lt;$Q$5,  $U$61*$C335+$V$61,
  $C335&lt;$Q$6,  $U$62*$C335+$V$62,
  $C335&lt;$Q$7,  $U$63*$C335+$V$63,
  $C335&lt;$Q$8, $U$64*$C335+$V$64,
  $C335&lt;$Q$9, $U$65*$C335+$V$65,
  $C335&lt;$Q$10, $U$66*$C335+$V$66,
  $C335&lt;$Q$11,  $U$67*$C335+$V$67,
  $C335&lt;$Q$12, $U$68*$C335+$V$68,
  $U$69*$C335+$V$69
)</f>
        <v>4</v>
      </c>
    </row>
    <row r="336" spans="2:37">
      <c r="B336">
        <f>'主翼(型紙出力)'!B179</f>
        <v>0</v>
      </c>
      <c r="C336">
        <f>'主翼(型紙出力)'!C179</f>
        <v>0</v>
      </c>
      <c r="D336">
        <f>'主翼(型紙出力)'!E179</f>
        <v>0</v>
      </c>
      <c r="E336">
        <f>'主翼(重量推算)'!CE176</f>
        <v>0</v>
      </c>
      <c r="F336" s="244" cm="1">
        <f t="array" ref="F336">_xlfn.SWITCH(TRUE,
  $C336&lt;$Q$5,  $S$22*$C336+$T$22,
  $C336&lt;$Q$6,  $S$23*$C336+$T$23,
  $C336&lt;$Q$7,  $S$24*$C336+$T$24,
  $C336&lt;$Q$8, $S$25*$C336+$T$25,
  $C336&lt;$Q$9, $S$26*$C336+$T$26,
  $C336&lt;$Q$10, $S$27*$C336+$T$27,
  $C336&lt;$Q$11,  $S$28*$C336+$T$28,
  $C336&lt;$Q$12, $S$29*$C336+$T$29,
  $S$30*$C336+$T$30
)</f>
        <v>1.1000000000000001</v>
      </c>
      <c r="G336" cm="1">
        <f t="array" ref="G336">_xlfn.SWITCH(TRUE,
  $C336&lt;$Q$5,  $U$22*$C336+$V$22,
  $C336&lt;$Q$6,  $U$23*$C336+$V$23,
  $C336&lt;$Q$7,  $U$24*$C336+$V$24,
  $C336&lt;$Q$8, $U$25*$C336+$V$25,
  $C336&lt;$Q$9, $U$26*$C336+$V$26,
  $C336&lt;$Q$10, $U$27*$C336+$V$27,
  $C336&lt;$Q$11,  $U$28*$C336+$V$28,
  $C336&lt;$Q$12, $U$29*$C336+$V$29,
  $U$30*$C336+$V$30
)</f>
        <v>3.4</v>
      </c>
      <c r="H336" cm="1">
        <f t="array" ref="H336">_xlfn.LET(
  _xlpm.y,$C336,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6" cm="1">
        <f t="array" ref="I336">_xlfn.LET(
  _xlpm.y,$C336,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6" cm="1">
        <f t="array" ref="J336">_xlfn.LET(
  _xlpm.y,$C336,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6" cm="1">
        <f t="array" ref="K336">_xlfn.LET(
  _xlpm.y,$C336,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6" cm="1">
        <f t="array" ref="L336">_xlfn.LET(
  _xlpm.y,$C336,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6" cm="1">
        <f t="array" ref="M336">_xlfn.SWITCH(TRUE,
  $C336&lt;$Q$5,  $D$22,
  $C336&lt;$Q$6,  $D$23,
  $C336&lt;$Q$7,  $D$24,
  $C336&lt;$Q$8,  $D$25,
  $C336&lt;$Q$9,  $D$26,
  $C336&lt;$Q$10,  $D$27,
  $C336&lt;$Q$11,  $D$28,
  $C336&lt;$Q$12,  $D$29,
  $C336&lt;$Q$13,  $D$30,
  $C336&lt;100,  $D$31,
)</f>
        <v>0</v>
      </c>
      <c r="Q336" s="129"/>
      <c r="R336" s="244" cm="1">
        <f t="array" ref="R336">_xlfn.SWITCH(TRUE,
  $C336&lt;$Q$5,  $S$41*$C336+$T$41,
  $C336&lt;$Q$6,  $S$42*$C336+$T$42,
  $C336&lt;$Q$7,  $S$43*$C336+$T$43,
  $C336&lt;$Q$8, $S$44*$C336+$T$44,
  $C336&lt;$Q$9, $S$45*$C336+$T$45,
  $C336&lt;$Q$10, $S$46*$C336+$T$46,
  $C336&lt;$Q$11,  $S$47*$C336+$T$47,
  $C336&lt;$Q$12, $S$48*$C336+$T$48,
  $S$49*$C336+$T$49
)</f>
        <v>1.1000000000000001</v>
      </c>
      <c r="S336" cm="1">
        <f t="array" ref="S336">_xlfn.SWITCH(TRUE,
  $C336&lt;$Q$5,  $U$41*$C336+$V$41,
  $C336&lt;$Q$6,  $U$42*$C336+$V$42,
  $C336&lt;$Q$7,  $U$43*$C336+$V$43,
  $C336&lt;$Q$8, $U$44*$C336+$V$44,
  $C336&lt;$Q$9, $U$45*$C336+$V$45,
  $C336&lt;$Q$10, $U$46*$C336+$V$46,
  $C336&lt;$Q$11,  $U$47*$C336+$V$47,
  $C336&lt;$Q$12, $U$48*$C336+$V$48,
  $U$49*$C336+$V$49
)</f>
        <v>3.8</v>
      </c>
      <c r="AE336" cm="1">
        <f t="array" ref="AE336">_xlfn.SWITCH(TRUE,
  $C336&lt;$Q$5,  $U$61*$C336+$V$61,
  $C336&lt;$Q$6,  $U$62*$C336+$V$62,
  $C336&lt;$Q$7,  $U$63*$C336+$V$63,
  $C336&lt;$Q$8, $U$64*$C336+$V$64,
  $C336&lt;$Q$9, $U$65*$C336+$V$65,
  $C336&lt;$Q$10, $U$66*$C336+$V$66,
  $C336&lt;$Q$11,  $U$67*$C336+$V$67,
  $C336&lt;$Q$12, $U$68*$C336+$V$68,
  $U$69*$C336+$V$69
)</f>
        <v>4</v>
      </c>
    </row>
    <row r="337" spans="2:31">
      <c r="B337">
        <f>'主翼(型紙出力)'!B180</f>
        <v>0</v>
      </c>
      <c r="C337">
        <f>'主翼(型紙出力)'!C180</f>
        <v>0</v>
      </c>
      <c r="D337">
        <f>'主翼(型紙出力)'!E180</f>
        <v>0</v>
      </c>
      <c r="E337">
        <f>'主翼(重量推算)'!CE177</f>
        <v>0</v>
      </c>
      <c r="F337" s="244" cm="1">
        <f t="array" ref="F337">_xlfn.SWITCH(TRUE,
  $C337&lt;$Q$5,  $S$22*$C337+$T$22,
  $C337&lt;$Q$6,  $S$23*$C337+$T$23,
  $C337&lt;$Q$7,  $S$24*$C337+$T$24,
  $C337&lt;$Q$8, $S$25*$C337+$T$25,
  $C337&lt;$Q$9, $S$26*$C337+$T$26,
  $C337&lt;$Q$10, $S$27*$C337+$T$27,
  $C337&lt;$Q$11,  $S$28*$C337+$T$28,
  $C337&lt;$Q$12, $S$29*$C337+$T$29,
  $S$30*$C337+$T$30
)</f>
        <v>1.1000000000000001</v>
      </c>
      <c r="G337" cm="1">
        <f t="array" ref="G337">_xlfn.SWITCH(TRUE,
  $C337&lt;$Q$5,  $U$22*$C337+$V$22,
  $C337&lt;$Q$6,  $U$23*$C337+$V$23,
  $C337&lt;$Q$7,  $U$24*$C337+$V$24,
  $C337&lt;$Q$8, $U$25*$C337+$V$25,
  $C337&lt;$Q$9, $U$26*$C337+$V$26,
  $C337&lt;$Q$10, $U$27*$C337+$V$27,
  $C337&lt;$Q$11,  $U$28*$C337+$V$28,
  $C337&lt;$Q$12, $U$29*$C337+$V$29,
  $U$30*$C337+$V$30
)</f>
        <v>3.4</v>
      </c>
      <c r="H337" cm="1">
        <f t="array" ref="H337">_xlfn.LET(
  _xlpm.y,$C337,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7" cm="1">
        <f t="array" ref="I337">_xlfn.LET(
  _xlpm.y,$C337,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7" cm="1">
        <f t="array" ref="J337">_xlfn.LET(
  _xlpm.y,$C337,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7" cm="1">
        <f t="array" ref="K337">_xlfn.LET(
  _xlpm.y,$C337,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7" cm="1">
        <f t="array" ref="L337">_xlfn.LET(
  _xlpm.y,$C337,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7" cm="1">
        <f t="array" ref="M337">_xlfn.SWITCH(TRUE,
  $C337&lt;$Q$5,  $D$22,
  $C337&lt;$Q$6,  $D$23,
  $C337&lt;$Q$7,  $D$24,
  $C337&lt;$Q$8,  $D$25,
  $C337&lt;$Q$9,  $D$26,
  $C337&lt;$Q$10,  $D$27,
  $C337&lt;$Q$11,  $D$28,
  $C337&lt;$Q$12,  $D$29,
  $C337&lt;$Q$13,  $D$30,
  $C337&lt;100,  $D$31,
)</f>
        <v>0</v>
      </c>
      <c r="Q337" s="129"/>
      <c r="R337" s="244" cm="1">
        <f t="array" ref="R337">_xlfn.SWITCH(TRUE,
  $C337&lt;$Q$5,  $S$41*$C337+$T$41,
  $C337&lt;$Q$6,  $S$42*$C337+$T$42,
  $C337&lt;$Q$7,  $S$43*$C337+$T$43,
  $C337&lt;$Q$8, $S$44*$C337+$T$44,
  $C337&lt;$Q$9, $S$45*$C337+$T$45,
  $C337&lt;$Q$10, $S$46*$C337+$T$46,
  $C337&lt;$Q$11,  $S$47*$C337+$T$47,
  $C337&lt;$Q$12, $S$48*$C337+$T$48,
  $S$49*$C337+$T$49
)</f>
        <v>1.1000000000000001</v>
      </c>
      <c r="S337" cm="1">
        <f t="array" ref="S337">_xlfn.SWITCH(TRUE,
  $C337&lt;$Q$5,  $U$41*$C337+$V$41,
  $C337&lt;$Q$6,  $U$42*$C337+$V$42,
  $C337&lt;$Q$7,  $U$43*$C337+$V$43,
  $C337&lt;$Q$8, $U$44*$C337+$V$44,
  $C337&lt;$Q$9, $U$45*$C337+$V$45,
  $C337&lt;$Q$10, $U$46*$C337+$V$46,
  $C337&lt;$Q$11,  $U$47*$C337+$V$47,
  $C337&lt;$Q$12, $U$48*$C337+$V$48,
  $U$49*$C337+$V$49
)</f>
        <v>3.8</v>
      </c>
      <c r="AE337" cm="1">
        <f t="array" ref="AE337">_xlfn.SWITCH(TRUE,
  $C337&lt;$Q$5,  $U$61*$C337+$V$61,
  $C337&lt;$Q$6,  $U$62*$C337+$V$62,
  $C337&lt;$Q$7,  $U$63*$C337+$V$63,
  $C337&lt;$Q$8, $U$64*$C337+$V$64,
  $C337&lt;$Q$9, $U$65*$C337+$V$65,
  $C337&lt;$Q$10, $U$66*$C337+$V$66,
  $C337&lt;$Q$11,  $U$67*$C337+$V$67,
  $C337&lt;$Q$12, $U$68*$C337+$V$68,
  $U$69*$C337+$V$69
)</f>
        <v>4</v>
      </c>
    </row>
    <row r="338" spans="2:31">
      <c r="B338">
        <f>'主翼(型紙出力)'!B181</f>
        <v>0</v>
      </c>
      <c r="C338">
        <f>'主翼(型紙出力)'!C181</f>
        <v>0</v>
      </c>
      <c r="D338">
        <f>'主翼(型紙出力)'!E181</f>
        <v>0</v>
      </c>
      <c r="E338">
        <f>'主翼(重量推算)'!CE178</f>
        <v>0</v>
      </c>
      <c r="F338" s="244" cm="1">
        <f t="array" ref="F338">_xlfn.SWITCH(TRUE,
  $C338&lt;$Q$5,  $S$22*$C338+$T$22,
  $C338&lt;$Q$6,  $S$23*$C338+$T$23,
  $C338&lt;$Q$7,  $S$24*$C338+$T$24,
  $C338&lt;$Q$8, $S$25*$C338+$T$25,
  $C338&lt;$Q$9, $S$26*$C338+$T$26,
  $C338&lt;$Q$10, $S$27*$C338+$T$27,
  $C338&lt;$Q$11,  $S$28*$C338+$T$28,
  $C338&lt;$Q$12, $S$29*$C338+$T$29,
  $S$30*$C338+$T$30
)</f>
        <v>1.1000000000000001</v>
      </c>
      <c r="G338" cm="1">
        <f t="array" ref="G338">_xlfn.SWITCH(TRUE,
  $C338&lt;$Q$5,  $U$22*$C338+$V$22,
  $C338&lt;$Q$6,  $U$23*$C338+$V$23,
  $C338&lt;$Q$7,  $U$24*$C338+$V$24,
  $C338&lt;$Q$8, $U$25*$C338+$V$25,
  $C338&lt;$Q$9, $U$26*$C338+$V$26,
  $C338&lt;$Q$10, $U$27*$C338+$V$27,
  $C338&lt;$Q$11,  $U$28*$C338+$V$28,
  $C338&lt;$Q$12, $U$29*$C338+$V$29,
  $U$30*$C338+$V$30
)</f>
        <v>3.4</v>
      </c>
      <c r="H338" cm="1">
        <f t="array" ref="H338">_xlfn.LET(
  _xlpm.y,$C338,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8" cm="1">
        <f t="array" ref="I338">_xlfn.LET(
  _xlpm.y,$C338,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8" cm="1">
        <f t="array" ref="J338">_xlfn.LET(
  _xlpm.y,$C338,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8" cm="1">
        <f t="array" ref="K338">_xlfn.LET(
  _xlpm.y,$C338,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8" cm="1">
        <f t="array" ref="L338">_xlfn.LET(
  _xlpm.y,$C338,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8" cm="1">
        <f t="array" ref="M338">_xlfn.SWITCH(TRUE,
  $C338&lt;$Q$5,  $D$22,
  $C338&lt;$Q$6,  $D$23,
  $C338&lt;$Q$7,  $D$24,
  $C338&lt;$Q$8,  $D$25,
  $C338&lt;$Q$9,  $D$26,
  $C338&lt;$Q$10,  $D$27,
  $C338&lt;$Q$11,  $D$28,
  $C338&lt;$Q$12,  $D$29,
  $C338&lt;$Q$13,  $D$30,
  $C338&lt;100,  $D$31,
)</f>
        <v>0</v>
      </c>
      <c r="Q338" s="129"/>
      <c r="R338" s="244" cm="1">
        <f t="array" ref="R338">_xlfn.SWITCH(TRUE,
  $C338&lt;$Q$5,  $S$41*$C338+$T$41,
  $C338&lt;$Q$6,  $S$42*$C338+$T$42,
  $C338&lt;$Q$7,  $S$43*$C338+$T$43,
  $C338&lt;$Q$8, $S$44*$C338+$T$44,
  $C338&lt;$Q$9, $S$45*$C338+$T$45,
  $C338&lt;$Q$10, $S$46*$C338+$T$46,
  $C338&lt;$Q$11,  $S$47*$C338+$T$47,
  $C338&lt;$Q$12, $S$48*$C338+$T$48,
  $S$49*$C338+$T$49
)</f>
        <v>1.1000000000000001</v>
      </c>
      <c r="S338" cm="1">
        <f t="array" ref="S338">_xlfn.SWITCH(TRUE,
  $C338&lt;$Q$5,  $U$41*$C338+$V$41,
  $C338&lt;$Q$6,  $U$42*$C338+$V$42,
  $C338&lt;$Q$7,  $U$43*$C338+$V$43,
  $C338&lt;$Q$8, $U$44*$C338+$V$44,
  $C338&lt;$Q$9, $U$45*$C338+$V$45,
  $C338&lt;$Q$10, $U$46*$C338+$V$46,
  $C338&lt;$Q$11,  $U$47*$C338+$V$47,
  $C338&lt;$Q$12, $U$48*$C338+$V$48,
  $U$49*$C338+$V$49
)</f>
        <v>3.8</v>
      </c>
      <c r="AE338" cm="1">
        <f t="array" ref="AE338">_xlfn.SWITCH(TRUE,
  $C338&lt;$Q$5,  $U$61*$C338+$V$61,
  $C338&lt;$Q$6,  $U$62*$C338+$V$62,
  $C338&lt;$Q$7,  $U$63*$C338+$V$63,
  $C338&lt;$Q$8, $U$64*$C338+$V$64,
  $C338&lt;$Q$9, $U$65*$C338+$V$65,
  $C338&lt;$Q$10, $U$66*$C338+$V$66,
  $C338&lt;$Q$11,  $U$67*$C338+$V$67,
  $C338&lt;$Q$12, $U$68*$C338+$V$68,
  $U$69*$C338+$V$69
)</f>
        <v>4</v>
      </c>
    </row>
    <row r="339" spans="2:31">
      <c r="B339">
        <f>'主翼(型紙出力)'!B182</f>
        <v>0</v>
      </c>
      <c r="C339">
        <f>'主翼(型紙出力)'!C182</f>
        <v>0</v>
      </c>
      <c r="D339">
        <f>'主翼(型紙出力)'!E182</f>
        <v>0</v>
      </c>
      <c r="E339">
        <f>'主翼(重量推算)'!CE179</f>
        <v>0</v>
      </c>
      <c r="F339" s="244" cm="1">
        <f t="array" ref="F339">_xlfn.SWITCH(TRUE,
  $C339&lt;$Q$5,  $S$22*$C339+$T$22,
  $C339&lt;$Q$6,  $S$23*$C339+$T$23,
  $C339&lt;$Q$7,  $S$24*$C339+$T$24,
  $C339&lt;$Q$8, $S$25*$C339+$T$25,
  $C339&lt;$Q$9, $S$26*$C339+$T$26,
  $C339&lt;$Q$10, $S$27*$C339+$T$27,
  $C339&lt;$Q$11,  $S$28*$C339+$T$28,
  $C339&lt;$Q$12, $S$29*$C339+$T$29,
  $S$30*$C339+$T$30
)</f>
        <v>1.1000000000000001</v>
      </c>
      <c r="G339" cm="1">
        <f t="array" ref="G339">_xlfn.SWITCH(TRUE,
  $C339&lt;$Q$5,  $U$22*$C339+$V$22,
  $C339&lt;$Q$6,  $U$23*$C339+$V$23,
  $C339&lt;$Q$7,  $U$24*$C339+$V$24,
  $C339&lt;$Q$8, $U$25*$C339+$V$25,
  $C339&lt;$Q$9, $U$26*$C339+$V$26,
  $C339&lt;$Q$10, $U$27*$C339+$V$27,
  $C339&lt;$Q$11,  $U$28*$C339+$V$28,
  $C339&lt;$Q$12, $U$29*$C339+$V$29,
  $U$30*$C339+$V$30
)</f>
        <v>3.4</v>
      </c>
      <c r="H339" cm="1">
        <f t="array" ref="H339">_xlfn.LET(
  _xlpm.y,$C339,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9" cm="1">
        <f t="array" ref="I339">_xlfn.LET(
  _xlpm.y,$C339,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9" cm="1">
        <f t="array" ref="J339">_xlfn.LET(
  _xlpm.y,$C339,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9" cm="1">
        <f t="array" ref="K339">_xlfn.LET(
  _xlpm.y,$C339,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9" cm="1">
        <f t="array" ref="L339">_xlfn.LET(
  _xlpm.y,$C339,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9" cm="1">
        <f t="array" ref="M339">_xlfn.SWITCH(TRUE,
  $C339&lt;$Q$5,  $D$22,
  $C339&lt;$Q$6,  $D$23,
  $C339&lt;$Q$7,  $D$24,
  $C339&lt;$Q$8,  $D$25,
  $C339&lt;$Q$9,  $D$26,
  $C339&lt;$Q$10,  $D$27,
  $C339&lt;$Q$11,  $D$28,
  $C339&lt;$Q$12,  $D$29,
  $C339&lt;$Q$13,  $D$30,
  $C339&lt;100,  $D$31,
)</f>
        <v>0</v>
      </c>
      <c r="Q339" s="129"/>
      <c r="R339" s="244" cm="1">
        <f t="array" ref="R339">_xlfn.SWITCH(TRUE,
  $C339&lt;$Q$5,  $S$41*$C339+$T$41,
  $C339&lt;$Q$6,  $S$42*$C339+$T$42,
  $C339&lt;$Q$7,  $S$43*$C339+$T$43,
  $C339&lt;$Q$8, $S$44*$C339+$T$44,
  $C339&lt;$Q$9, $S$45*$C339+$T$45,
  $C339&lt;$Q$10, $S$46*$C339+$T$46,
  $C339&lt;$Q$11,  $S$47*$C339+$T$47,
  $C339&lt;$Q$12, $S$48*$C339+$T$48,
  $S$49*$C339+$T$49
)</f>
        <v>1.1000000000000001</v>
      </c>
      <c r="S339" cm="1">
        <f t="array" ref="S339">_xlfn.SWITCH(TRUE,
  $C339&lt;$Q$5,  $U$41*$C339+$V$41,
  $C339&lt;$Q$6,  $U$42*$C339+$V$42,
  $C339&lt;$Q$7,  $U$43*$C339+$V$43,
  $C339&lt;$Q$8, $U$44*$C339+$V$44,
  $C339&lt;$Q$9, $U$45*$C339+$V$45,
  $C339&lt;$Q$10, $U$46*$C339+$V$46,
  $C339&lt;$Q$11,  $U$47*$C339+$V$47,
  $C339&lt;$Q$12, $U$48*$C339+$V$48,
  $U$49*$C339+$V$49
)</f>
        <v>3.8</v>
      </c>
      <c r="AE339" cm="1">
        <f t="array" ref="AE339">_xlfn.SWITCH(TRUE,
  $C339&lt;$Q$5,  $U$61*$C339+$V$61,
  $C339&lt;$Q$6,  $U$62*$C339+$V$62,
  $C339&lt;$Q$7,  $U$63*$C339+$V$63,
  $C339&lt;$Q$8, $U$64*$C339+$V$64,
  $C339&lt;$Q$9, $U$65*$C339+$V$65,
  $C339&lt;$Q$10, $U$66*$C339+$V$66,
  $C339&lt;$Q$11,  $U$67*$C339+$V$67,
  $C339&lt;$Q$12, $U$68*$C339+$V$68,
  $U$69*$C339+$V$69
)</f>
        <v>4</v>
      </c>
    </row>
    <row r="340" spans="2:31">
      <c r="B340">
        <f>'主翼(型紙出力)'!B183</f>
        <v>0</v>
      </c>
      <c r="C340">
        <f>'主翼(型紙出力)'!C183</f>
        <v>0</v>
      </c>
      <c r="D340">
        <f>'主翼(型紙出力)'!E183</f>
        <v>0</v>
      </c>
      <c r="E340">
        <f>'主翼(重量推算)'!CE180</f>
        <v>0</v>
      </c>
      <c r="F340" s="244" cm="1">
        <f t="array" ref="F340">_xlfn.SWITCH(TRUE,
  $C340&lt;$Q$5,  $S$22*$C340+$T$22,
  $C340&lt;$Q$6,  $S$23*$C340+$T$23,
  $C340&lt;$Q$7,  $S$24*$C340+$T$24,
  $C340&lt;$Q$8, $S$25*$C340+$T$25,
  $C340&lt;$Q$9, $S$26*$C340+$T$26,
  $C340&lt;$Q$10, $S$27*$C340+$T$27,
  $C340&lt;$Q$11,  $S$28*$C340+$T$28,
  $C340&lt;$Q$12, $S$29*$C340+$T$29,
  $S$30*$C340+$T$30
)</f>
        <v>1.1000000000000001</v>
      </c>
      <c r="G340" cm="1">
        <f t="array" ref="G340">_xlfn.SWITCH(TRUE,
  $C340&lt;$Q$5,  $U$22*$C340+$V$22,
  $C340&lt;$Q$6,  $U$23*$C340+$V$23,
  $C340&lt;$Q$7,  $U$24*$C340+$V$24,
  $C340&lt;$Q$8, $U$25*$C340+$V$25,
  $C340&lt;$Q$9, $U$26*$C340+$V$26,
  $C340&lt;$Q$10, $U$27*$C340+$V$27,
  $C340&lt;$Q$11,  $U$28*$C340+$V$28,
  $C340&lt;$Q$12, $U$29*$C340+$V$29,
  $U$30*$C340+$V$30
)</f>
        <v>3.4</v>
      </c>
      <c r="H340" cm="1">
        <f t="array" ref="H340">_xlfn.LET(
  _xlpm.y,$C340,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0" cm="1">
        <f t="array" ref="I340">_xlfn.LET(
  _xlpm.y,$C340,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0" cm="1">
        <f t="array" ref="J340">_xlfn.LET(
  _xlpm.y,$C340,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0" cm="1">
        <f t="array" ref="K340">_xlfn.LET(
  _xlpm.y,$C340,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0" cm="1">
        <f t="array" ref="L340">_xlfn.LET(
  _xlpm.y,$C340,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0" cm="1">
        <f t="array" ref="M340">_xlfn.SWITCH(TRUE,
  $C340&lt;$Q$5,  $D$22,
  $C340&lt;$Q$6,  $D$23,
  $C340&lt;$Q$7,  $D$24,
  $C340&lt;$Q$8,  $D$25,
  $C340&lt;$Q$9,  $D$26,
  $C340&lt;$Q$10,  $D$27,
  $C340&lt;$Q$11,  $D$28,
  $C340&lt;$Q$12,  $D$29,
  $C340&lt;$Q$13,  $D$30,
  $C340&lt;100,  $D$31,
)</f>
        <v>0</v>
      </c>
      <c r="Q340" s="129"/>
      <c r="R340" s="244" cm="1">
        <f t="array" ref="R340">_xlfn.SWITCH(TRUE,
  $C340&lt;$Q$5,  $S$41*$C340+$T$41,
  $C340&lt;$Q$6,  $S$42*$C340+$T$42,
  $C340&lt;$Q$7,  $S$43*$C340+$T$43,
  $C340&lt;$Q$8, $S$44*$C340+$T$44,
  $C340&lt;$Q$9, $S$45*$C340+$T$45,
  $C340&lt;$Q$10, $S$46*$C340+$T$46,
  $C340&lt;$Q$11,  $S$47*$C340+$T$47,
  $C340&lt;$Q$12, $S$48*$C340+$T$48,
  $S$49*$C340+$T$49
)</f>
        <v>1.1000000000000001</v>
      </c>
      <c r="S340" cm="1">
        <f t="array" ref="S340">_xlfn.SWITCH(TRUE,
  $C340&lt;$Q$5,  $U$41*$C340+$V$41,
  $C340&lt;$Q$6,  $U$42*$C340+$V$42,
  $C340&lt;$Q$7,  $U$43*$C340+$V$43,
  $C340&lt;$Q$8, $U$44*$C340+$V$44,
  $C340&lt;$Q$9, $U$45*$C340+$V$45,
  $C340&lt;$Q$10, $U$46*$C340+$V$46,
  $C340&lt;$Q$11,  $U$47*$C340+$V$47,
  $C340&lt;$Q$12, $U$48*$C340+$V$48,
  $U$49*$C340+$V$49
)</f>
        <v>3.8</v>
      </c>
      <c r="AE340" cm="1">
        <f t="array" ref="AE340">_xlfn.SWITCH(TRUE,
  $C340&lt;$Q$5,  $U$61*$C340+$V$61,
  $C340&lt;$Q$6,  $U$62*$C340+$V$62,
  $C340&lt;$Q$7,  $U$63*$C340+$V$63,
  $C340&lt;$Q$8, $U$64*$C340+$V$64,
  $C340&lt;$Q$9, $U$65*$C340+$V$65,
  $C340&lt;$Q$10, $U$66*$C340+$V$66,
  $C340&lt;$Q$11,  $U$67*$C340+$V$67,
  $C340&lt;$Q$12, $U$68*$C340+$V$68,
  $U$69*$C340+$V$69
)</f>
        <v>4</v>
      </c>
    </row>
    <row r="341" spans="2:31">
      <c r="B341">
        <f>'主翼(型紙出力)'!B184</f>
        <v>0</v>
      </c>
      <c r="C341">
        <f>'主翼(型紙出力)'!C184</f>
        <v>0</v>
      </c>
      <c r="D341">
        <f>'主翼(型紙出力)'!E184</f>
        <v>0</v>
      </c>
      <c r="E341">
        <f>'主翼(重量推算)'!CE181</f>
        <v>0</v>
      </c>
      <c r="F341" s="245" cm="1">
        <f t="array" ref="F341">_xlfn.SWITCH(TRUE,
  $C341&lt;$Q$5,  $S$22*$C341+$T$22,
  $C341&lt;$Q$6,  $S$23*$C341+$T$23,
  $C341&lt;$Q$7,  $S$24*$C341+$T$24,
  $C341&lt;$Q$8, $S$25*$C341+$T$25,
  $C341&lt;$Q$9, $S$26*$C341+$T$26,
  $C341&lt;$Q$10, $S$27*$C341+$T$27,
  $C341&lt;$Q$11,  $S$28*$C341+$T$28,
  $C341&lt;$Q$12, $S$29*$C341+$T$29,
  $S$30*$C341+$T$30
)</f>
        <v>1.1000000000000001</v>
      </c>
      <c r="G341" s="89" cm="1">
        <f t="array" ref="G341">_xlfn.SWITCH(TRUE,
  $C341&lt;$Q$5,  $U$22*$C341+$V$22,
  $C341&lt;$Q$6,  $U$23*$C341+$V$23,
  $C341&lt;$Q$7,  $U$24*$C341+$V$24,
  $C341&lt;$Q$8, $U$25*$C341+$V$25,
  $C341&lt;$Q$9, $U$26*$C341+$V$26,
  $C341&lt;$Q$10, $U$27*$C341+$V$27,
  $C341&lt;$Q$11,  $U$28*$C341+$V$28,
  $C341&lt;$Q$12, $U$29*$C341+$V$29,
  $U$30*$C341+$V$30
)</f>
        <v>3.4</v>
      </c>
      <c r="H341" s="89" cm="1">
        <f t="array" ref="H341">_xlfn.LET(
  _xlpm.y,$C341,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1" s="89" cm="1">
        <f t="array" ref="I341">_xlfn.LET(
  _xlpm.y,$C341,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1" s="89" cm="1">
        <f t="array" ref="J341">_xlfn.LET(
  _xlpm.y,$C341,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1" s="89" cm="1">
        <f t="array" ref="K341">_xlfn.LET(
  _xlpm.y,$C341,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1" s="89" cm="1">
        <f t="array" ref="L341">_xlfn.LET(
  _xlpm.y,$C341,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1" s="89" cm="1">
        <f t="array" ref="M341">_xlfn.SWITCH(TRUE,
  $C341&lt;$Q$5,  $D$22,
  $C341&lt;$Q$6,  $D$23,
  $C341&lt;$Q$7,  $D$24,
  $C341&lt;$Q$8,  $D$25,
  $C341&lt;$Q$9,  $D$26,
  $C341&lt;$Q$10,  $D$27,
  $C341&lt;$Q$11,  $D$28,
  $C341&lt;$Q$12,  $D$29,
  $C341&lt;$Q$13,  $D$30,
  $C341&lt;100,  $D$31,
)</f>
        <v>0</v>
      </c>
      <c r="N341" s="89"/>
      <c r="O341" s="89"/>
      <c r="P341" s="89"/>
      <c r="Q341" s="118"/>
      <c r="R341" s="244" cm="1">
        <f t="array" ref="R341">_xlfn.SWITCH(TRUE,
  $C341&lt;$Q$5,  $S$41*$C341+$T$41,
  $C341&lt;$Q$6,  $S$42*$C341+$T$42,
  $C341&lt;$Q$7,  $S$43*$C341+$T$43,
  $C341&lt;$Q$8, $S$44*$C341+$T$44,
  $C341&lt;$Q$9, $S$45*$C341+$T$45,
  $C341&lt;$Q$10, $S$46*$C341+$T$46,
  $C341&lt;$Q$11,  $S$47*$C341+$T$47,
  $C341&lt;$Q$12, $S$48*$C341+$T$48,
  $S$49*$C341+$T$49
)</f>
        <v>1.1000000000000001</v>
      </c>
      <c r="S341" cm="1">
        <f t="array" ref="S341">_xlfn.SWITCH(TRUE,
  $C341&lt;$Q$5,  $U$41*$C341+$V$41,
  $C341&lt;$Q$6,  $U$42*$C341+$V$42,
  $C341&lt;$Q$7,  $U$43*$C341+$V$43,
  $C341&lt;$Q$8, $U$44*$C341+$V$44,
  $C341&lt;$Q$9, $U$45*$C341+$V$45,
  $C341&lt;$Q$10, $U$46*$C341+$V$46,
  $C341&lt;$Q$11,  $U$47*$C341+$V$47,
  $C341&lt;$Q$12, $U$48*$C341+$V$48,
  $U$49*$C341+$V$49
)</f>
        <v>3.8</v>
      </c>
      <c r="T341" s="89"/>
      <c r="U341" s="89"/>
      <c r="V341" s="89"/>
      <c r="W341" s="89"/>
      <c r="X341" s="89"/>
      <c r="Y341" s="89"/>
      <c r="Z341" s="89"/>
      <c r="AA341" s="89"/>
      <c r="AB341" s="89"/>
      <c r="AE341" cm="1">
        <f t="array" ref="AE341">_xlfn.SWITCH(TRUE,
  $C341&lt;$Q$5,  $U$61*$C341+$V$61,
  $C341&lt;$Q$6,  $U$62*$C341+$V$62,
  $C341&lt;$Q$7,  $U$63*$C341+$V$63,
  $C341&lt;$Q$8, $U$64*$C341+$V$64,
  $C341&lt;$Q$9, $U$65*$C341+$V$65,
  $C341&lt;$Q$10, $U$66*$C341+$V$66,
  $C341&lt;$Q$11,  $U$67*$C341+$V$67,
  $C341&lt;$Q$12, $U$68*$C341+$V$68,
  $U$69*$C341+$V$69
)</f>
        <v>4</v>
      </c>
    </row>
    <row r="342" spans="2:31">
      <c r="B342">
        <f>'主翼(型紙出力)'!B185</f>
        <v>0</v>
      </c>
      <c r="C342">
        <f>'主翼(型紙出力)'!C185</f>
        <v>0</v>
      </c>
      <c r="D342">
        <f>'主翼(型紙出力)'!E185</f>
        <v>0</v>
      </c>
      <c r="E342">
        <f>'主翼(重量推算)'!CE182</f>
        <v>0</v>
      </c>
      <c r="F342" cm="1">
        <f t="array" ref="F342">_xlfn.SWITCH(TRUE,
  $C342&lt;$Q$5,  $S$22*$C342+$T$22,
  $C342&lt;$Q$6,  $S$23*$C342+$T$23,
  $C342&lt;$Q$7,  $S$24*$C342+$T$24,
  $C342&lt;$Q$8, $S$25*$C342+$T$25,
  $C342&lt;$Q$9, $S$26*$C342+$T$26,
  $C342&lt;$Q$10, $S$27*$C342+$T$27,
  $C342&lt;$Q$11,  $S$28*$C342+$T$28,
  $C342&lt;$Q$12, $S$29*$C342+$T$29,
  $S$30*$C342+$T$30
)</f>
        <v>1.1000000000000001</v>
      </c>
      <c r="G342" cm="1">
        <f t="array" ref="G342">_xlfn.SWITCH(TRUE,
  $C342&lt;$Q$5,  $U$22*$C342+$V$22,
  $C342&lt;$Q$6,  $U$23*$C342+$V$23,
  $C342&lt;$Q$7,  $U$24*$C342+$V$24,
  $C342&lt;$Q$8, $U$25*$C342+$V$25,
  $C342&lt;$Q$9, $U$26*$C342+$V$26,
  $C342&lt;$Q$10, $U$27*$C342+$V$27,
  $C342&lt;$Q$11,  $U$28*$C342+$V$28,
  $C342&lt;$Q$12, $U$29*$C342+$V$29,
  $U$30*$C342+$V$30
)</f>
        <v>3.4</v>
      </c>
      <c r="H342" cm="1">
        <f t="array" ref="H342">_xlfn.LET(
  _xlpm.y,$C342,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2" cm="1">
        <f t="array" ref="I342">_xlfn.LET(
  _xlpm.y,$C342,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2" cm="1">
        <f t="array" ref="J342">_xlfn.LET(
  _xlpm.y,$C342,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2" cm="1">
        <f t="array" ref="K342">_xlfn.LET(
  _xlpm.y,$C342,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2" cm="1">
        <f t="array" ref="L342">_xlfn.LET(
  _xlpm.y,$C342,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2" cm="1">
        <f t="array" ref="M342">_xlfn.SWITCH(TRUE,
  $C342&lt;$Q$5,  $D$22,
  $C342&lt;$Q$6,  $D$23,
  $C342&lt;$Q$7,  $D$24,
  $C342&lt;$Q$8,  $D$25,
  $C342&lt;$Q$9,  $D$26,
  $C342&lt;$Q$10,  $D$27,
  $C342&lt;$Q$11,  $D$28,
  $C342&lt;$Q$12,  $D$29,
  $C342&lt;$Q$13,  $D$30,
  $C342&lt;100,  $D$31,
)</f>
        <v>0</v>
      </c>
      <c r="R342" s="244" cm="1">
        <f t="array" ref="R342">_xlfn.SWITCH(TRUE,
  $C342&lt;$Q$5,  $S$41*$C342+$T$41,
  $C342&lt;$Q$6,  $S$42*$C342+$T$42,
  $C342&lt;$Q$7,  $S$43*$C342+$T$43,
  $C342&lt;$Q$8, $S$44*$C342+$T$44,
  $C342&lt;$Q$9, $S$45*$C342+$T$45,
  $C342&lt;$Q$10, $S$46*$C342+$T$46,
  $C342&lt;$Q$11,  $S$47*$C342+$T$47,
  $C342&lt;$Q$12, $S$48*$C342+$T$48,
  $S$49*$C342+$T$49
)</f>
        <v>1.1000000000000001</v>
      </c>
      <c r="S342" cm="1">
        <f t="array" ref="S342">_xlfn.SWITCH(TRUE,
  $C342&lt;$Q$5,  $U$41*$C342+$V$41,
  $C342&lt;$Q$6,  $U$42*$C342+$V$42,
  $C342&lt;$Q$7,  $U$43*$C342+$V$43,
  $C342&lt;$Q$8, $U$44*$C342+$V$44,
  $C342&lt;$Q$9, $U$45*$C342+$V$45,
  $C342&lt;$Q$10, $U$46*$C342+$V$46,
  $C342&lt;$Q$11,  $U$47*$C342+$V$47,
  $C342&lt;$Q$12, $U$48*$C342+$V$48,
  $U$49*$C342+$V$49
)</f>
        <v>3.8</v>
      </c>
      <c r="AB342" s="89"/>
      <c r="AE342" cm="1">
        <f t="array" ref="AE342">_xlfn.SWITCH(TRUE,
  $C342&lt;$Q$5,  $U$61*$C342+$V$61,
  $C342&lt;$Q$6,  $U$62*$C342+$V$62,
  $C342&lt;$Q$7,  $U$63*$C342+$V$63,
  $C342&lt;$Q$8, $U$64*$C342+$V$64,
  $C342&lt;$Q$9, $U$65*$C342+$V$65,
  $C342&lt;$Q$10, $U$66*$C342+$V$66,
  $C342&lt;$Q$11,  $U$67*$C342+$V$67,
  $C342&lt;$Q$12, $U$68*$C342+$V$68,
  $U$69*$C342+$V$69
)</f>
        <v>4</v>
      </c>
    </row>
    <row r="343" spans="2:31">
      <c r="B343">
        <f>'主翼(型紙出力)'!B186</f>
        <v>0</v>
      </c>
      <c r="C343">
        <f>'主翼(型紙出力)'!C186</f>
        <v>0</v>
      </c>
      <c r="D343">
        <f>'主翼(型紙出力)'!E186</f>
        <v>0</v>
      </c>
      <c r="E343">
        <f>'主翼(重量推算)'!CE183</f>
        <v>0</v>
      </c>
      <c r="F343" cm="1">
        <f t="array" ref="F343">_xlfn.SWITCH(TRUE,
  $C343&lt;$Q$5,  $S$22*$C343+$T$22,
  $C343&lt;$Q$6,  $S$23*$C343+$T$23,
  $C343&lt;$Q$7,  $S$24*$C343+$T$24,
  $C343&lt;$Q$8, $S$25*$C343+$T$25,
  $C343&lt;$Q$9, $S$26*$C343+$T$26,
  $C343&lt;$Q$10, $S$27*$C343+$T$27,
  $C343&lt;$Q$11,  $S$28*$C343+$T$28,
  $C343&lt;$Q$12, $S$29*$C343+$T$29,
  $S$30*$C343+$T$30
)</f>
        <v>1.1000000000000001</v>
      </c>
      <c r="G343" cm="1">
        <f t="array" ref="G343">_xlfn.SWITCH(TRUE,
  $C343&lt;$Q$5,  $U$22*$C343+$V$22,
  $C343&lt;$Q$6,  $U$23*$C343+$V$23,
  $C343&lt;$Q$7,  $U$24*$C343+$V$24,
  $C343&lt;$Q$8, $U$25*$C343+$V$25,
  $C343&lt;$Q$9, $U$26*$C343+$V$26,
  $C343&lt;$Q$10, $U$27*$C343+$V$27,
  $C343&lt;$Q$11,  $U$28*$C343+$V$28,
  $C343&lt;$Q$12, $U$29*$C343+$V$29,
  $U$30*$C343+$V$30
)</f>
        <v>3.4</v>
      </c>
      <c r="H343" cm="1">
        <f t="array" ref="H343">_xlfn.LET(
  _xlpm.y,$C343,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3" cm="1">
        <f t="array" ref="I343">_xlfn.LET(
  _xlpm.y,$C343,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3" cm="1">
        <f t="array" ref="J343">_xlfn.LET(
  _xlpm.y,$C343,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3" cm="1">
        <f t="array" ref="K343">_xlfn.LET(
  _xlpm.y,$C343,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3" cm="1">
        <f t="array" ref="L343">_xlfn.LET(
  _xlpm.y,$C343,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3" cm="1">
        <f t="array" ref="M343">_xlfn.SWITCH(TRUE,
  $C343&lt;$Q$5,  $D$22,
  $C343&lt;$Q$6,  $D$23,
  $C343&lt;$Q$7,  $D$24,
  $C343&lt;$Q$8,  $D$25,
  $C343&lt;$Q$9,  $D$26,
  $C343&lt;$Q$10,  $D$27,
  $C343&lt;$Q$11,  $D$28,
  $C343&lt;$Q$12,  $D$29,
  $C343&lt;$Q$13,  $D$30,
  $C343&lt;100,  $D$31,
)</f>
        <v>0</v>
      </c>
      <c r="R343" s="244" cm="1">
        <f t="array" ref="R343">_xlfn.SWITCH(TRUE,
  $C343&lt;$Q$5,  $S$41*$C343+$T$41,
  $C343&lt;$Q$6,  $S$42*$C343+$T$42,
  $C343&lt;$Q$7,  $S$43*$C343+$T$43,
  $C343&lt;$Q$8, $S$44*$C343+$T$44,
  $C343&lt;$Q$9, $S$45*$C343+$T$45,
  $C343&lt;$Q$10, $S$46*$C343+$T$46,
  $C343&lt;$Q$11,  $S$47*$C343+$T$47,
  $C343&lt;$Q$12, $S$48*$C343+$T$48,
  $S$49*$C343+$T$49
)</f>
        <v>1.1000000000000001</v>
      </c>
      <c r="S343" cm="1">
        <f t="array" ref="S343">_xlfn.SWITCH(TRUE,
  $C343&lt;$Q$5,  $U$41*$C343+$V$41,
  $C343&lt;$Q$6,  $U$42*$C343+$V$42,
  $C343&lt;$Q$7,  $U$43*$C343+$V$43,
  $C343&lt;$Q$8, $U$44*$C343+$V$44,
  $C343&lt;$Q$9, $U$45*$C343+$V$45,
  $C343&lt;$Q$10, $U$46*$C343+$V$46,
  $C343&lt;$Q$11,  $U$47*$C343+$V$47,
  $C343&lt;$Q$12, $U$48*$C343+$V$48,
  $U$49*$C343+$V$49
)</f>
        <v>3.8</v>
      </c>
      <c r="AE343" cm="1">
        <f t="array" ref="AE343">_xlfn.SWITCH(TRUE,
  $C343&lt;$Q$5,  $U$61*$C343+$V$61,
  $C343&lt;$Q$6,  $U$62*$C343+$V$62,
  $C343&lt;$Q$7,  $U$63*$C343+$V$63,
  $C343&lt;$Q$8, $U$64*$C343+$V$64,
  $C343&lt;$Q$9, $U$65*$C343+$V$65,
  $C343&lt;$Q$10, $U$66*$C343+$V$66,
  $C343&lt;$Q$11,  $U$67*$C343+$V$67,
  $C343&lt;$Q$12, $U$68*$C343+$V$68,
  $U$69*$C343+$V$69
)</f>
        <v>4</v>
      </c>
    </row>
    <row r="344" spans="2:31">
      <c r="B344">
        <f>'主翼(型紙出力)'!B187</f>
        <v>0</v>
      </c>
      <c r="C344">
        <f>'主翼(型紙出力)'!C187</f>
        <v>0</v>
      </c>
      <c r="D344">
        <f>'主翼(型紙出力)'!E187</f>
        <v>0</v>
      </c>
      <c r="E344">
        <f>'主翼(重量推算)'!CE184</f>
        <v>0</v>
      </c>
      <c r="F344" cm="1">
        <f t="array" ref="F344">_xlfn.SWITCH(TRUE,
  $C344&lt;$Q$5,  $S$22*$C344+$T$22,
  $C344&lt;$Q$6,  $S$23*$C344+$T$23,
  $C344&lt;$Q$7,  $S$24*$C344+$T$24,
  $C344&lt;$Q$8, $S$25*$C344+$T$25,
  $C344&lt;$Q$9, $S$26*$C344+$T$26,
  $C344&lt;$Q$10, $S$27*$C344+$T$27,
  $C344&lt;$Q$11,  $S$28*$C344+$T$28,
  $C344&lt;$Q$12, $S$29*$C344+$T$29,
  $S$30*$C344+$T$30
)</f>
        <v>1.1000000000000001</v>
      </c>
      <c r="G344" cm="1">
        <f t="array" ref="G344">_xlfn.SWITCH(TRUE,
  $C344&lt;$Q$5,  $U$22*$C344+$V$22,
  $C344&lt;$Q$6,  $U$23*$C344+$V$23,
  $C344&lt;$Q$7,  $U$24*$C344+$V$24,
  $C344&lt;$Q$8, $U$25*$C344+$V$25,
  $C344&lt;$Q$9, $U$26*$C344+$V$26,
  $C344&lt;$Q$10, $U$27*$C344+$V$27,
  $C344&lt;$Q$11,  $U$28*$C344+$V$28,
  $C344&lt;$Q$12, $U$29*$C344+$V$29,
  $U$30*$C344+$V$30
)</f>
        <v>3.4</v>
      </c>
      <c r="H344" cm="1">
        <f t="array" ref="H344">_xlfn.LET(
  _xlpm.y,$C344,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4" cm="1">
        <f t="array" ref="I344">_xlfn.LET(
  _xlpm.y,$C344,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4" cm="1">
        <f t="array" ref="J344">_xlfn.LET(
  _xlpm.y,$C344,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4" cm="1">
        <f t="array" ref="K344">_xlfn.LET(
  _xlpm.y,$C344,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4" cm="1">
        <f t="array" ref="L344">_xlfn.LET(
  _xlpm.y,$C344,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4" cm="1">
        <f t="array" ref="M344">_xlfn.SWITCH(TRUE,
  $C344&lt;$Q$5,  $D$22,
  $C344&lt;$Q$6,  $D$23,
  $C344&lt;$Q$7,  $D$24,
  $C344&lt;$Q$8,  $D$25,
  $C344&lt;$Q$9,  $D$26,
  $C344&lt;$Q$10,  $D$27,
  $C344&lt;$Q$11,  $D$28,
  $C344&lt;$Q$12,  $D$29,
  $C344&lt;$Q$13,  $D$30,
  $C344&lt;100,  $D$31,
)</f>
        <v>0</v>
      </c>
      <c r="R344" s="244" cm="1">
        <f t="array" ref="R344">_xlfn.SWITCH(TRUE,
  $C344&lt;$Q$5,  $S$41*$C344+$T$41,
  $C344&lt;$Q$6,  $S$42*$C344+$T$42,
  $C344&lt;$Q$7,  $S$43*$C344+$T$43,
  $C344&lt;$Q$8, $S$44*$C344+$T$44,
  $C344&lt;$Q$9, $S$45*$C344+$T$45,
  $C344&lt;$Q$10, $S$46*$C344+$T$46,
  $C344&lt;$Q$11,  $S$47*$C344+$T$47,
  $C344&lt;$Q$12, $S$48*$C344+$T$48,
  $S$49*$C344+$T$49
)</f>
        <v>1.1000000000000001</v>
      </c>
      <c r="S344" cm="1">
        <f t="array" ref="S344">_xlfn.SWITCH(TRUE,
  $C344&lt;$Q$5,  $U$41*$C344+$V$41,
  $C344&lt;$Q$6,  $U$42*$C344+$V$42,
  $C344&lt;$Q$7,  $U$43*$C344+$V$43,
  $C344&lt;$Q$8, $U$44*$C344+$V$44,
  $C344&lt;$Q$9, $U$45*$C344+$V$45,
  $C344&lt;$Q$10, $U$46*$C344+$V$46,
  $C344&lt;$Q$11,  $U$47*$C344+$V$47,
  $C344&lt;$Q$12, $U$48*$C344+$V$48,
  $U$49*$C344+$V$49
)</f>
        <v>3.8</v>
      </c>
      <c r="AE344" cm="1">
        <f t="array" ref="AE344">_xlfn.SWITCH(TRUE,
  $C344&lt;$Q$5,  $U$61*$C344+$V$61,
  $C344&lt;$Q$6,  $U$62*$C344+$V$62,
  $C344&lt;$Q$7,  $U$63*$C344+$V$63,
  $C344&lt;$Q$8, $U$64*$C344+$V$64,
  $C344&lt;$Q$9, $U$65*$C344+$V$65,
  $C344&lt;$Q$10, $U$66*$C344+$V$66,
  $C344&lt;$Q$11,  $U$67*$C344+$V$67,
  $C344&lt;$Q$12, $U$68*$C344+$V$68,
  $U$69*$C344+$V$69
)</f>
        <v>4</v>
      </c>
    </row>
    <row r="345" spans="2:31">
      <c r="B345">
        <f>'主翼(型紙出力)'!B188</f>
        <v>0</v>
      </c>
      <c r="C345">
        <f>'主翼(型紙出力)'!C188</f>
        <v>0</v>
      </c>
      <c r="D345">
        <f>'主翼(型紙出力)'!E188</f>
        <v>0</v>
      </c>
      <c r="E345">
        <f>'主翼(重量推算)'!CE185</f>
        <v>0</v>
      </c>
      <c r="F345" cm="1">
        <f t="array" ref="F345">_xlfn.SWITCH(TRUE,
  $C345&lt;$Q$5,  $S$22*$C345+$T$22,
  $C345&lt;$Q$6,  $S$23*$C345+$T$23,
  $C345&lt;$Q$7,  $S$24*$C345+$T$24,
  $C345&lt;$Q$8, $S$25*$C345+$T$25,
  $C345&lt;$Q$9, $S$26*$C345+$T$26,
  $C345&lt;$Q$10, $S$27*$C345+$T$27,
  $C345&lt;$Q$11,  $S$28*$C345+$T$28,
  $C345&lt;$Q$12, $S$29*$C345+$T$29,
  $S$30*$C345+$T$30
)</f>
        <v>1.1000000000000001</v>
      </c>
      <c r="G345" cm="1">
        <f t="array" ref="G345">_xlfn.SWITCH(TRUE,
  $C345&lt;$Q$5,  $U$22*$C345+$V$22,
  $C345&lt;$Q$6,  $U$23*$C345+$V$23,
  $C345&lt;$Q$7,  $U$24*$C345+$V$24,
  $C345&lt;$Q$8, $U$25*$C345+$V$25,
  $C345&lt;$Q$9, $U$26*$C345+$V$26,
  $C345&lt;$Q$10, $U$27*$C345+$V$27,
  $C345&lt;$Q$11,  $U$28*$C345+$V$28,
  $C345&lt;$Q$12, $U$29*$C345+$V$29,
  $U$30*$C345+$V$30
)</f>
        <v>3.4</v>
      </c>
      <c r="H345" cm="1">
        <f t="array" ref="H345">_xlfn.LET(
  _xlpm.y,$C345,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5" cm="1">
        <f t="array" ref="I345">_xlfn.LET(
  _xlpm.y,$C345,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5" cm="1">
        <f t="array" ref="J345">_xlfn.LET(
  _xlpm.y,$C345,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5" cm="1">
        <f t="array" ref="K345">_xlfn.LET(
  _xlpm.y,$C345,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5" cm="1">
        <f t="array" ref="L345">_xlfn.LET(
  _xlpm.y,$C345,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5" cm="1">
        <f t="array" ref="M345">_xlfn.SWITCH(TRUE,
  $C345&lt;$Q$5,  $D$22,
  $C345&lt;$Q$6,  $D$23,
  $C345&lt;$Q$7,  $D$24,
  $C345&lt;$Q$8,  $D$25,
  $C345&lt;$Q$9,  $D$26,
  $C345&lt;$Q$10,  $D$27,
  $C345&lt;$Q$11,  $D$28,
  $C345&lt;$Q$12,  $D$29,
  $C345&lt;$Q$13,  $D$30,
  $C345&lt;100,  $D$31,
)</f>
        <v>0</v>
      </c>
      <c r="R345" s="244" cm="1">
        <f t="array" ref="R345">_xlfn.SWITCH(TRUE,
  $C345&lt;$Q$5,  $S$41*$C345+$T$41,
  $C345&lt;$Q$6,  $S$42*$C345+$T$42,
  $C345&lt;$Q$7,  $S$43*$C345+$T$43,
  $C345&lt;$Q$8, $S$44*$C345+$T$44,
  $C345&lt;$Q$9, $S$45*$C345+$T$45,
  $C345&lt;$Q$10, $S$46*$C345+$T$46,
  $C345&lt;$Q$11,  $S$47*$C345+$T$47,
  $C345&lt;$Q$12, $S$48*$C345+$T$48,
  $S$49*$C345+$T$49
)</f>
        <v>1.1000000000000001</v>
      </c>
      <c r="S345" cm="1">
        <f t="array" ref="S345">_xlfn.SWITCH(TRUE,
  $C345&lt;$Q$5,  $U$41*$C345+$V$41,
  $C345&lt;$Q$6,  $U$42*$C345+$V$42,
  $C345&lt;$Q$7,  $U$43*$C345+$V$43,
  $C345&lt;$Q$8, $U$44*$C345+$V$44,
  $C345&lt;$Q$9, $U$45*$C345+$V$45,
  $C345&lt;$Q$10, $U$46*$C345+$V$46,
  $C345&lt;$Q$11,  $U$47*$C345+$V$47,
  $C345&lt;$Q$12, $U$48*$C345+$V$48,
  $U$49*$C345+$V$49
)</f>
        <v>3.8</v>
      </c>
      <c r="AE345" cm="1">
        <f t="array" ref="AE345">_xlfn.SWITCH(TRUE,
  $C345&lt;$Q$5,  $U$61*$C345+$V$61,
  $C345&lt;$Q$6,  $U$62*$C345+$V$62,
  $C345&lt;$Q$7,  $U$63*$C345+$V$63,
  $C345&lt;$Q$8, $U$64*$C345+$V$64,
  $C345&lt;$Q$9, $U$65*$C345+$V$65,
  $C345&lt;$Q$10, $U$66*$C345+$V$66,
  $C345&lt;$Q$11,  $U$67*$C345+$V$67,
  $C345&lt;$Q$12, $U$68*$C345+$V$68,
  $U$69*$C345+$V$69
)</f>
        <v>4</v>
      </c>
    </row>
    <row r="346" spans="2:31">
      <c r="B346">
        <f>'主翼(型紙出力)'!B189</f>
        <v>0</v>
      </c>
      <c r="C346">
        <f>'主翼(型紙出力)'!C189</f>
        <v>0</v>
      </c>
      <c r="D346">
        <f>'主翼(型紙出力)'!E189</f>
        <v>0</v>
      </c>
      <c r="E346">
        <f>'主翼(重量推算)'!CE186</f>
        <v>0</v>
      </c>
      <c r="F346" cm="1">
        <f t="array" ref="F346">_xlfn.SWITCH(TRUE,
  $C346&lt;$Q$5,  $S$22*$C346+$T$22,
  $C346&lt;$Q$6,  $S$23*$C346+$T$23,
  $C346&lt;$Q$7,  $S$24*$C346+$T$24,
  $C346&lt;$Q$8, $S$25*$C346+$T$25,
  $C346&lt;$Q$9, $S$26*$C346+$T$26,
  $C346&lt;$Q$10, $S$27*$C346+$T$27,
  $C346&lt;$Q$11,  $S$28*$C346+$T$28,
  $C346&lt;$Q$12, $S$29*$C346+$T$29,
  $S$30*$C346+$T$30
)</f>
        <v>1.1000000000000001</v>
      </c>
      <c r="G346" cm="1">
        <f t="array" ref="G346">_xlfn.SWITCH(TRUE,
  $C346&lt;$Q$5,  $U$22*$C346+$V$22,
  $C346&lt;$Q$6,  $U$23*$C346+$V$23,
  $C346&lt;$Q$7,  $U$24*$C346+$V$24,
  $C346&lt;$Q$8, $U$25*$C346+$V$25,
  $C346&lt;$Q$9, $U$26*$C346+$V$26,
  $C346&lt;$Q$10, $U$27*$C346+$V$27,
  $C346&lt;$Q$11,  $U$28*$C346+$V$28,
  $C346&lt;$Q$12, $U$29*$C346+$V$29,
  $U$30*$C346+$V$30
)</f>
        <v>3.4</v>
      </c>
      <c r="H346" cm="1">
        <f t="array" ref="H346">_xlfn.LET(
  _xlpm.y,$C346,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6" cm="1">
        <f t="array" ref="I346">_xlfn.LET(
  _xlpm.y,$C346,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6" cm="1">
        <f t="array" ref="J346">_xlfn.LET(
  _xlpm.y,$C346,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6" cm="1">
        <f t="array" ref="K346">_xlfn.LET(
  _xlpm.y,$C346,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6" cm="1">
        <f t="array" ref="L346">_xlfn.LET(
  _xlpm.y,$C346,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6" cm="1">
        <f t="array" ref="M346">_xlfn.SWITCH(TRUE,
  $C346&lt;$Q$5,  $D$22,
  $C346&lt;$Q$6,  $D$23,
  $C346&lt;$Q$7,  $D$24,
  $C346&lt;$Q$8,  $D$25,
  $C346&lt;$Q$9,  $D$26,
  $C346&lt;$Q$10,  $D$27,
  $C346&lt;$Q$11,  $D$28,
  $C346&lt;$Q$12,  $D$29,
  $C346&lt;$Q$13,  $D$30,
  $C346&lt;100,  $D$31,
)</f>
        <v>0</v>
      </c>
      <c r="R346" s="244" cm="1">
        <f t="array" ref="R346">_xlfn.SWITCH(TRUE,
  $C346&lt;$Q$5,  $S$41*$C346+$T$41,
  $C346&lt;$Q$6,  $S$42*$C346+$T$42,
  $C346&lt;$Q$7,  $S$43*$C346+$T$43,
  $C346&lt;$Q$8, $S$44*$C346+$T$44,
  $C346&lt;$Q$9, $S$45*$C346+$T$45,
  $C346&lt;$Q$10, $S$46*$C346+$T$46,
  $C346&lt;$Q$11,  $S$47*$C346+$T$47,
  $C346&lt;$Q$12, $S$48*$C346+$T$48,
  $S$49*$C346+$T$49
)</f>
        <v>1.1000000000000001</v>
      </c>
      <c r="S346" cm="1">
        <f t="array" ref="S346">_xlfn.SWITCH(TRUE,
  $C346&lt;$Q$5,  $U$41*$C346+$V$41,
  $C346&lt;$Q$6,  $U$42*$C346+$V$42,
  $C346&lt;$Q$7,  $U$43*$C346+$V$43,
  $C346&lt;$Q$8, $U$44*$C346+$V$44,
  $C346&lt;$Q$9, $U$45*$C346+$V$45,
  $C346&lt;$Q$10, $U$46*$C346+$V$46,
  $C346&lt;$Q$11,  $U$47*$C346+$V$47,
  $C346&lt;$Q$12, $U$48*$C346+$V$48,
  $U$49*$C346+$V$49
)</f>
        <v>3.8</v>
      </c>
      <c r="AE346" cm="1">
        <f t="array" ref="AE346">_xlfn.SWITCH(TRUE,
  $C346&lt;$Q$5,  $U$61*$C346+$V$61,
  $C346&lt;$Q$6,  $U$62*$C346+$V$62,
  $C346&lt;$Q$7,  $U$63*$C346+$V$63,
  $C346&lt;$Q$8, $U$64*$C346+$V$64,
  $C346&lt;$Q$9, $U$65*$C346+$V$65,
  $C346&lt;$Q$10, $U$66*$C346+$V$66,
  $C346&lt;$Q$11,  $U$67*$C346+$V$67,
  $C346&lt;$Q$12, $U$68*$C346+$V$68,
  $U$69*$C346+$V$69
)</f>
        <v>4</v>
      </c>
    </row>
    <row r="347" spans="2:31">
      <c r="B347">
        <f>'主翼(型紙出力)'!B190</f>
        <v>0</v>
      </c>
      <c r="C347">
        <f>'主翼(型紙出力)'!C190</f>
        <v>0</v>
      </c>
      <c r="D347">
        <f>'主翼(型紙出力)'!E190</f>
        <v>0</v>
      </c>
      <c r="E347">
        <f>'主翼(重量推算)'!CE187</f>
        <v>0</v>
      </c>
      <c r="F347" cm="1">
        <f t="array" ref="F347">_xlfn.SWITCH(TRUE,
  $C347&lt;$Q$5,  $S$22*$C347+$T$22,
  $C347&lt;$Q$6,  $S$23*$C347+$T$23,
  $C347&lt;$Q$7,  $S$24*$C347+$T$24,
  $C347&lt;$Q$8, $S$25*$C347+$T$25,
  $C347&lt;$Q$9, $S$26*$C347+$T$26,
  $C347&lt;$Q$10, $S$27*$C347+$T$27,
  $C347&lt;$Q$11,  $S$28*$C347+$T$28,
  $C347&lt;$Q$12, $S$29*$C347+$T$29,
  $S$30*$C347+$T$30
)</f>
        <v>1.1000000000000001</v>
      </c>
      <c r="G347" cm="1">
        <f t="array" ref="G347">_xlfn.SWITCH(TRUE,
  $C347&lt;$Q$5,  $U$22*$C347+$V$22,
  $C347&lt;$Q$6,  $U$23*$C347+$V$23,
  $C347&lt;$Q$7,  $U$24*$C347+$V$24,
  $C347&lt;$Q$8, $U$25*$C347+$V$25,
  $C347&lt;$Q$9, $U$26*$C347+$V$26,
  $C347&lt;$Q$10, $U$27*$C347+$V$27,
  $C347&lt;$Q$11,  $U$28*$C347+$V$28,
  $C347&lt;$Q$12, $U$29*$C347+$V$29,
  $U$30*$C347+$V$30
)</f>
        <v>3.4</v>
      </c>
      <c r="H347" cm="1">
        <f t="array" ref="H347">_xlfn.LET(
  _xlpm.y,$C347,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7" cm="1">
        <f t="array" ref="I347">_xlfn.LET(
  _xlpm.y,$C347,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7" cm="1">
        <f t="array" ref="J347">_xlfn.LET(
  _xlpm.y,$C347,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7" cm="1">
        <f t="array" ref="K347">_xlfn.LET(
  _xlpm.y,$C347,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7" cm="1">
        <f t="array" ref="L347">_xlfn.LET(
  _xlpm.y,$C347,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7" cm="1">
        <f t="array" ref="M347">_xlfn.SWITCH(TRUE,
  $C347&lt;$Q$5,  $D$22,
  $C347&lt;$Q$6,  $D$23,
  $C347&lt;$Q$7,  $D$24,
  $C347&lt;$Q$8,  $D$25,
  $C347&lt;$Q$9,  $D$26,
  $C347&lt;$Q$10,  $D$27,
  $C347&lt;$Q$11,  $D$28,
  $C347&lt;$Q$12,  $D$29,
  $C347&lt;$Q$13,  $D$30,
  $C347&lt;100,  $D$31,
)</f>
        <v>0</v>
      </c>
      <c r="R347" s="244" cm="1">
        <f t="array" ref="R347">_xlfn.SWITCH(TRUE,
  $C347&lt;$Q$5,  $S$41*$C347+$T$41,
  $C347&lt;$Q$6,  $S$42*$C347+$T$42,
  $C347&lt;$Q$7,  $S$43*$C347+$T$43,
  $C347&lt;$Q$8, $S$44*$C347+$T$44,
  $C347&lt;$Q$9, $S$45*$C347+$T$45,
  $C347&lt;$Q$10, $S$46*$C347+$T$46,
  $C347&lt;$Q$11,  $S$47*$C347+$T$47,
  $C347&lt;$Q$12, $S$48*$C347+$T$48,
  $S$49*$C347+$T$49
)</f>
        <v>1.1000000000000001</v>
      </c>
      <c r="S347" cm="1">
        <f t="array" ref="S347">_xlfn.SWITCH(TRUE,
  $C347&lt;$Q$5,  $U$41*$C347+$V$41,
  $C347&lt;$Q$6,  $U$42*$C347+$V$42,
  $C347&lt;$Q$7,  $U$43*$C347+$V$43,
  $C347&lt;$Q$8, $U$44*$C347+$V$44,
  $C347&lt;$Q$9, $U$45*$C347+$V$45,
  $C347&lt;$Q$10, $U$46*$C347+$V$46,
  $C347&lt;$Q$11,  $U$47*$C347+$V$47,
  $C347&lt;$Q$12, $U$48*$C347+$V$48,
  $U$49*$C347+$V$49
)</f>
        <v>3.8</v>
      </c>
      <c r="AE347" cm="1">
        <f t="array" ref="AE347">_xlfn.SWITCH(TRUE,
  $C347&lt;$Q$5,  $U$61*$C347+$V$61,
  $C347&lt;$Q$6,  $U$62*$C347+$V$62,
  $C347&lt;$Q$7,  $U$63*$C347+$V$63,
  $C347&lt;$Q$8, $U$64*$C347+$V$64,
  $C347&lt;$Q$9, $U$65*$C347+$V$65,
  $C347&lt;$Q$10, $U$66*$C347+$V$66,
  $C347&lt;$Q$11,  $U$67*$C347+$V$67,
  $C347&lt;$Q$12, $U$68*$C347+$V$68,
  $U$69*$C347+$V$69
)</f>
        <v>4</v>
      </c>
    </row>
    <row r="348" spans="2:31">
      <c r="B348">
        <f>'主翼(型紙出力)'!B191</f>
        <v>0</v>
      </c>
      <c r="C348">
        <f>'主翼(型紙出力)'!C191</f>
        <v>0</v>
      </c>
      <c r="D348">
        <f>'主翼(型紙出力)'!E191</f>
        <v>0</v>
      </c>
      <c r="E348">
        <f>'主翼(重量推算)'!CE188</f>
        <v>0</v>
      </c>
      <c r="F348" cm="1">
        <f t="array" ref="F348">_xlfn.SWITCH(TRUE,
  $C348&lt;$Q$5,  $S$22*$C348+$T$22,
  $C348&lt;$Q$6,  $S$23*$C348+$T$23,
  $C348&lt;$Q$7,  $S$24*$C348+$T$24,
  $C348&lt;$Q$8, $S$25*$C348+$T$25,
  $C348&lt;$Q$9, $S$26*$C348+$T$26,
  $C348&lt;$Q$10, $S$27*$C348+$T$27,
  $C348&lt;$Q$11,  $S$28*$C348+$T$28,
  $C348&lt;$Q$12, $S$29*$C348+$T$29,
  $S$30*$C348+$T$30
)</f>
        <v>1.1000000000000001</v>
      </c>
      <c r="G348" cm="1">
        <f t="array" ref="G348">_xlfn.SWITCH(TRUE,
  $C348&lt;$Q$5,  $U$22*$C348+$V$22,
  $C348&lt;$Q$6,  $U$23*$C348+$V$23,
  $C348&lt;$Q$7,  $U$24*$C348+$V$24,
  $C348&lt;$Q$8, $U$25*$C348+$V$25,
  $C348&lt;$Q$9, $U$26*$C348+$V$26,
  $C348&lt;$Q$10, $U$27*$C348+$V$27,
  $C348&lt;$Q$11,  $U$28*$C348+$V$28,
  $C348&lt;$Q$12, $U$29*$C348+$V$29,
  $U$30*$C348+$V$30
)</f>
        <v>3.4</v>
      </c>
      <c r="H348" cm="1">
        <f t="array" ref="H348">_xlfn.LET(
  _xlpm.y,$C348,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8" cm="1">
        <f t="array" ref="I348">_xlfn.LET(
  _xlpm.y,$C348,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8" cm="1">
        <f t="array" ref="J348">_xlfn.LET(
  _xlpm.y,$C348,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8" cm="1">
        <f t="array" ref="K348">_xlfn.LET(
  _xlpm.y,$C348,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8" cm="1">
        <f t="array" ref="L348">_xlfn.LET(
  _xlpm.y,$C348,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8" cm="1">
        <f t="array" ref="M348">_xlfn.SWITCH(TRUE,
  $C348&lt;$Q$5,  $D$22,
  $C348&lt;$Q$6,  $D$23,
  $C348&lt;$Q$7,  $D$24,
  $C348&lt;$Q$8,  $D$25,
  $C348&lt;$Q$9,  $D$26,
  $C348&lt;$Q$10,  $D$27,
  $C348&lt;$Q$11,  $D$28,
  $C348&lt;$Q$12,  $D$29,
  $C348&lt;$Q$13,  $D$30,
  $C348&lt;100,  $D$31,
)</f>
        <v>0</v>
      </c>
      <c r="R348" s="244" cm="1">
        <f t="array" ref="R348">_xlfn.SWITCH(TRUE,
  $C348&lt;$Q$5,  $S$41*$C348+$T$41,
  $C348&lt;$Q$6,  $S$42*$C348+$T$42,
  $C348&lt;$Q$7,  $S$43*$C348+$T$43,
  $C348&lt;$Q$8, $S$44*$C348+$T$44,
  $C348&lt;$Q$9, $S$45*$C348+$T$45,
  $C348&lt;$Q$10, $S$46*$C348+$T$46,
  $C348&lt;$Q$11,  $S$47*$C348+$T$47,
  $C348&lt;$Q$12, $S$48*$C348+$T$48,
  $S$49*$C348+$T$49
)</f>
        <v>1.1000000000000001</v>
      </c>
      <c r="S348" cm="1">
        <f t="array" ref="S348">_xlfn.SWITCH(TRUE,
  $C348&lt;$Q$5,  $U$41*$C348+$V$41,
  $C348&lt;$Q$6,  $U$42*$C348+$V$42,
  $C348&lt;$Q$7,  $U$43*$C348+$V$43,
  $C348&lt;$Q$8, $U$44*$C348+$V$44,
  $C348&lt;$Q$9, $U$45*$C348+$V$45,
  $C348&lt;$Q$10, $U$46*$C348+$V$46,
  $C348&lt;$Q$11,  $U$47*$C348+$V$47,
  $C348&lt;$Q$12, $U$48*$C348+$V$48,
  $U$49*$C348+$V$49
)</f>
        <v>3.8</v>
      </c>
      <c r="AE348" cm="1">
        <f t="array" ref="AE348">_xlfn.SWITCH(TRUE,
  $C348&lt;$Q$5,  $U$61*$C348+$V$61,
  $C348&lt;$Q$6,  $U$62*$C348+$V$62,
  $C348&lt;$Q$7,  $U$63*$C348+$V$63,
  $C348&lt;$Q$8, $U$64*$C348+$V$64,
  $C348&lt;$Q$9, $U$65*$C348+$V$65,
  $C348&lt;$Q$10, $U$66*$C348+$V$66,
  $C348&lt;$Q$11,  $U$67*$C348+$V$67,
  $C348&lt;$Q$12, $U$68*$C348+$V$68,
  $U$69*$C348+$V$69
)</f>
        <v>4</v>
      </c>
    </row>
    <row r="349" spans="2:31">
      <c r="B349">
        <f>'主翼(型紙出力)'!B192</f>
        <v>0</v>
      </c>
      <c r="C349">
        <f>'主翼(型紙出力)'!C192</f>
        <v>0</v>
      </c>
      <c r="D349">
        <f>'主翼(型紙出力)'!E192</f>
        <v>0</v>
      </c>
      <c r="E349">
        <f>'主翼(重量推算)'!CE189</f>
        <v>0</v>
      </c>
      <c r="F349" cm="1">
        <f t="array" ref="F349">_xlfn.SWITCH(TRUE,
  $C349&lt;$Q$5,  $S$22*$C349+$T$22,
  $C349&lt;$Q$6,  $S$23*$C349+$T$23,
  $C349&lt;$Q$7,  $S$24*$C349+$T$24,
  $C349&lt;$Q$8, $S$25*$C349+$T$25,
  $C349&lt;$Q$9, $S$26*$C349+$T$26,
  $C349&lt;$Q$10, $S$27*$C349+$T$27,
  $C349&lt;$Q$11,  $S$28*$C349+$T$28,
  $C349&lt;$Q$12, $S$29*$C349+$T$29,
  $S$30*$C349+$T$30
)</f>
        <v>1.1000000000000001</v>
      </c>
      <c r="G349" cm="1">
        <f t="array" ref="G349">_xlfn.SWITCH(TRUE,
  $C349&lt;$Q$5,  $U$22*$C349+$V$22,
  $C349&lt;$Q$6,  $U$23*$C349+$V$23,
  $C349&lt;$Q$7,  $U$24*$C349+$V$24,
  $C349&lt;$Q$8, $U$25*$C349+$V$25,
  $C349&lt;$Q$9, $U$26*$C349+$V$26,
  $C349&lt;$Q$10, $U$27*$C349+$V$27,
  $C349&lt;$Q$11,  $U$28*$C349+$V$28,
  $C349&lt;$Q$12, $U$29*$C349+$V$29,
  $U$30*$C349+$V$30
)</f>
        <v>3.4</v>
      </c>
      <c r="H349" cm="1">
        <f t="array" ref="H349">_xlfn.LET(
  _xlpm.y,$C349,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9" cm="1">
        <f t="array" ref="I349">_xlfn.LET(
  _xlpm.y,$C349,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9" cm="1">
        <f t="array" ref="J349">_xlfn.LET(
  _xlpm.y,$C349,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9" cm="1">
        <f t="array" ref="K349">_xlfn.LET(
  _xlpm.y,$C349,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9" cm="1">
        <f t="array" ref="L349">_xlfn.LET(
  _xlpm.y,$C349,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9" cm="1">
        <f t="array" ref="M349">_xlfn.SWITCH(TRUE,
  $C349&lt;$Q$5,  $D$22,
  $C349&lt;$Q$6,  $D$23,
  $C349&lt;$Q$7,  $D$24,
  $C349&lt;$Q$8,  $D$25,
  $C349&lt;$Q$9,  $D$26,
  $C349&lt;$Q$10,  $D$27,
  $C349&lt;$Q$11,  $D$28,
  $C349&lt;$Q$12,  $D$29,
  $C349&lt;$Q$13,  $D$30,
  $C349&lt;100,  $D$31,
)</f>
        <v>0</v>
      </c>
      <c r="R349" s="244" cm="1">
        <f t="array" ref="R349">_xlfn.SWITCH(TRUE,
  $C349&lt;$Q$5,  $S$41*$C349+$T$41,
  $C349&lt;$Q$6,  $S$42*$C349+$T$42,
  $C349&lt;$Q$7,  $S$43*$C349+$T$43,
  $C349&lt;$Q$8, $S$44*$C349+$T$44,
  $C349&lt;$Q$9, $S$45*$C349+$T$45,
  $C349&lt;$Q$10, $S$46*$C349+$T$46,
  $C349&lt;$Q$11,  $S$47*$C349+$T$47,
  $C349&lt;$Q$12, $S$48*$C349+$T$48,
  $S$49*$C349+$T$49
)</f>
        <v>1.1000000000000001</v>
      </c>
      <c r="S349" cm="1">
        <f t="array" ref="S349">_xlfn.SWITCH(TRUE,
  $C349&lt;$Q$5,  $U$41*$C349+$V$41,
  $C349&lt;$Q$6,  $U$42*$C349+$V$42,
  $C349&lt;$Q$7,  $U$43*$C349+$V$43,
  $C349&lt;$Q$8, $U$44*$C349+$V$44,
  $C349&lt;$Q$9, $U$45*$C349+$V$45,
  $C349&lt;$Q$10, $U$46*$C349+$V$46,
  $C349&lt;$Q$11,  $U$47*$C349+$V$47,
  $C349&lt;$Q$12, $U$48*$C349+$V$48,
  $U$49*$C349+$V$49
)</f>
        <v>3.8</v>
      </c>
      <c r="AE349" cm="1">
        <f t="array" ref="AE349">_xlfn.SWITCH(TRUE,
  $C349&lt;$Q$5,  $U$61*$C349+$V$61,
  $C349&lt;$Q$6,  $U$62*$C349+$V$62,
  $C349&lt;$Q$7,  $U$63*$C349+$V$63,
  $C349&lt;$Q$8, $U$64*$C349+$V$64,
  $C349&lt;$Q$9, $U$65*$C349+$V$65,
  $C349&lt;$Q$10, $U$66*$C349+$V$66,
  $C349&lt;$Q$11,  $U$67*$C349+$V$67,
  $C349&lt;$Q$12, $U$68*$C349+$V$68,
  $U$69*$C349+$V$69
)</f>
        <v>4</v>
      </c>
    </row>
    <row r="350" spans="2:31">
      <c r="B350">
        <f>'主翼(型紙出力)'!B193</f>
        <v>0</v>
      </c>
      <c r="C350">
        <f>'主翼(型紙出力)'!C193</f>
        <v>0</v>
      </c>
      <c r="D350">
        <f>'主翼(型紙出力)'!E193</f>
        <v>0</v>
      </c>
      <c r="E350">
        <f>'主翼(重量推算)'!CE190</f>
        <v>0</v>
      </c>
      <c r="F350" cm="1">
        <f t="array" ref="F350">_xlfn.SWITCH(TRUE,
  $C350&lt;$Q$5,  $S$22*$C350+$T$22,
  $C350&lt;$Q$6,  $S$23*$C350+$T$23,
  $C350&lt;$Q$7,  $S$24*$C350+$T$24,
  $C350&lt;$Q$8, $S$25*$C350+$T$25,
  $C350&lt;$Q$9, $S$26*$C350+$T$26,
  $C350&lt;$Q$10, $S$27*$C350+$T$27,
  $C350&lt;$Q$11,  $S$28*$C350+$T$28,
  $C350&lt;$Q$12, $S$29*$C350+$T$29,
  $S$30*$C350+$T$30
)</f>
        <v>1.1000000000000001</v>
      </c>
      <c r="G350" cm="1">
        <f t="array" ref="G350">_xlfn.SWITCH(TRUE,
  $C350&lt;$Q$5,  $U$22*$C350+$V$22,
  $C350&lt;$Q$6,  $U$23*$C350+$V$23,
  $C350&lt;$Q$7,  $U$24*$C350+$V$24,
  $C350&lt;$Q$8, $U$25*$C350+$V$25,
  $C350&lt;$Q$9, $U$26*$C350+$V$26,
  $C350&lt;$Q$10, $U$27*$C350+$V$27,
  $C350&lt;$Q$11,  $U$28*$C350+$V$28,
  $C350&lt;$Q$12, $U$29*$C350+$V$29,
  $U$30*$C350+$V$30
)</f>
        <v>3.4</v>
      </c>
      <c r="H350" cm="1">
        <f t="array" ref="H350">_xlfn.LET(
  _xlpm.y,$C350,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0" cm="1">
        <f t="array" ref="I350">_xlfn.LET(
  _xlpm.y,$C350,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0" cm="1">
        <f t="array" ref="J350">_xlfn.LET(
  _xlpm.y,$C350,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0" cm="1">
        <f t="array" ref="K350">_xlfn.LET(
  _xlpm.y,$C350,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0" cm="1">
        <f t="array" ref="L350">_xlfn.LET(
  _xlpm.y,$C350,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0" cm="1">
        <f t="array" ref="M350">_xlfn.SWITCH(TRUE,
  $C350&lt;$Q$5,  $D$22,
  $C350&lt;$Q$6,  $D$23,
  $C350&lt;$Q$7,  $D$24,
  $C350&lt;$Q$8,  $D$25,
  $C350&lt;$Q$9,  $D$26,
  $C350&lt;$Q$10,  $D$27,
  $C350&lt;$Q$11,  $D$28,
  $C350&lt;$Q$12,  $D$29,
  $C350&lt;$Q$13,  $D$30,
  $C350&lt;100,  $D$31,
)</f>
        <v>0</v>
      </c>
      <c r="R350" s="244" cm="1">
        <f t="array" ref="R350">_xlfn.SWITCH(TRUE,
  $C350&lt;$Q$5,  $S$41*$C350+$T$41,
  $C350&lt;$Q$6,  $S$42*$C350+$T$42,
  $C350&lt;$Q$7,  $S$43*$C350+$T$43,
  $C350&lt;$Q$8, $S$44*$C350+$T$44,
  $C350&lt;$Q$9, $S$45*$C350+$T$45,
  $C350&lt;$Q$10, $S$46*$C350+$T$46,
  $C350&lt;$Q$11,  $S$47*$C350+$T$47,
  $C350&lt;$Q$12, $S$48*$C350+$T$48,
  $S$49*$C350+$T$49
)</f>
        <v>1.1000000000000001</v>
      </c>
      <c r="S350" cm="1">
        <f t="array" ref="S350">_xlfn.SWITCH(TRUE,
  $C350&lt;$Q$5,  $U$41*$C350+$V$41,
  $C350&lt;$Q$6,  $U$42*$C350+$V$42,
  $C350&lt;$Q$7,  $U$43*$C350+$V$43,
  $C350&lt;$Q$8, $U$44*$C350+$V$44,
  $C350&lt;$Q$9, $U$45*$C350+$V$45,
  $C350&lt;$Q$10, $U$46*$C350+$V$46,
  $C350&lt;$Q$11,  $U$47*$C350+$V$47,
  $C350&lt;$Q$12, $U$48*$C350+$V$48,
  $U$49*$C350+$V$49
)</f>
        <v>3.8</v>
      </c>
      <c r="AE350" cm="1">
        <f t="array" ref="AE350">_xlfn.SWITCH(TRUE,
  $C350&lt;$Q$5,  $U$61*$C350+$V$61,
  $C350&lt;$Q$6,  $U$62*$C350+$V$62,
  $C350&lt;$Q$7,  $U$63*$C350+$V$63,
  $C350&lt;$Q$8, $U$64*$C350+$V$64,
  $C350&lt;$Q$9, $U$65*$C350+$V$65,
  $C350&lt;$Q$10, $U$66*$C350+$V$66,
  $C350&lt;$Q$11,  $U$67*$C350+$V$67,
  $C350&lt;$Q$12, $U$68*$C350+$V$68,
  $U$69*$C350+$V$69
)</f>
        <v>4</v>
      </c>
    </row>
    <row r="351" spans="2:31">
      <c r="B351">
        <f>'主翼(型紙出力)'!B194</f>
        <v>0</v>
      </c>
      <c r="C351">
        <f>'主翼(型紙出力)'!C194</f>
        <v>0</v>
      </c>
      <c r="D351">
        <f>'主翼(型紙出力)'!E194</f>
        <v>0</v>
      </c>
      <c r="E351">
        <f>'主翼(重量推算)'!CE191</f>
        <v>0</v>
      </c>
      <c r="F351" cm="1">
        <f t="array" ref="F351">_xlfn.SWITCH(TRUE,
  $C351&lt;$Q$5,  $S$22*$C351+$T$22,
  $C351&lt;$Q$6,  $S$23*$C351+$T$23,
  $C351&lt;$Q$7,  $S$24*$C351+$T$24,
  $C351&lt;$Q$8, $S$25*$C351+$T$25,
  $C351&lt;$Q$9, $S$26*$C351+$T$26,
  $C351&lt;$Q$10, $S$27*$C351+$T$27,
  $C351&lt;$Q$11,  $S$28*$C351+$T$28,
  $C351&lt;$Q$12, $S$29*$C351+$T$29,
  $S$30*$C351+$T$30
)</f>
        <v>1.1000000000000001</v>
      </c>
      <c r="G351" cm="1">
        <f t="array" ref="G351">_xlfn.SWITCH(TRUE,
  $C351&lt;$Q$5,  $U$22*$C351+$V$22,
  $C351&lt;$Q$6,  $U$23*$C351+$V$23,
  $C351&lt;$Q$7,  $U$24*$C351+$V$24,
  $C351&lt;$Q$8, $U$25*$C351+$V$25,
  $C351&lt;$Q$9, $U$26*$C351+$V$26,
  $C351&lt;$Q$10, $U$27*$C351+$V$27,
  $C351&lt;$Q$11,  $U$28*$C351+$V$28,
  $C351&lt;$Q$12, $U$29*$C351+$V$29,
  $U$30*$C351+$V$30
)</f>
        <v>3.4</v>
      </c>
      <c r="H351" cm="1">
        <f t="array" ref="H351">_xlfn.LET(
  _xlpm.y,$C351,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1" cm="1">
        <f t="array" ref="I351">_xlfn.LET(
  _xlpm.y,$C351,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1" cm="1">
        <f t="array" ref="J351">_xlfn.LET(
  _xlpm.y,$C351,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1" cm="1">
        <f t="array" ref="K351">_xlfn.LET(
  _xlpm.y,$C351,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1" cm="1">
        <f t="array" ref="L351">_xlfn.LET(
  _xlpm.y,$C351,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1" cm="1">
        <f t="array" ref="M351">_xlfn.SWITCH(TRUE,
  $C351&lt;$Q$5,  $D$22,
  $C351&lt;$Q$6,  $D$23,
  $C351&lt;$Q$7,  $D$24,
  $C351&lt;$Q$8,  $D$25,
  $C351&lt;$Q$9,  $D$26,
  $C351&lt;$Q$10,  $D$27,
  $C351&lt;$Q$11,  $D$28,
  $C351&lt;$Q$12,  $D$29,
  $C351&lt;$Q$13,  $D$30,
  $C351&lt;100,  $D$31,
)</f>
        <v>0</v>
      </c>
      <c r="R351" s="244" cm="1">
        <f t="array" ref="R351">_xlfn.SWITCH(TRUE,
  $C351&lt;$Q$5,  $S$41*$C351+$T$41,
  $C351&lt;$Q$6,  $S$42*$C351+$T$42,
  $C351&lt;$Q$7,  $S$43*$C351+$T$43,
  $C351&lt;$Q$8, $S$44*$C351+$T$44,
  $C351&lt;$Q$9, $S$45*$C351+$T$45,
  $C351&lt;$Q$10, $S$46*$C351+$T$46,
  $C351&lt;$Q$11,  $S$47*$C351+$T$47,
  $C351&lt;$Q$12, $S$48*$C351+$T$48,
  $S$49*$C351+$T$49
)</f>
        <v>1.1000000000000001</v>
      </c>
      <c r="S351" cm="1">
        <f t="array" ref="S351">_xlfn.SWITCH(TRUE,
  $C351&lt;$Q$5,  $U$41*$C351+$V$41,
  $C351&lt;$Q$6,  $U$42*$C351+$V$42,
  $C351&lt;$Q$7,  $U$43*$C351+$V$43,
  $C351&lt;$Q$8, $U$44*$C351+$V$44,
  $C351&lt;$Q$9, $U$45*$C351+$V$45,
  $C351&lt;$Q$10, $U$46*$C351+$V$46,
  $C351&lt;$Q$11,  $U$47*$C351+$V$47,
  $C351&lt;$Q$12, $U$48*$C351+$V$48,
  $U$49*$C351+$V$49
)</f>
        <v>3.8</v>
      </c>
      <c r="AE351" cm="1">
        <f t="array" ref="AE351">_xlfn.SWITCH(TRUE,
  $C351&lt;$Q$5,  $U$61*$C351+$V$61,
  $C351&lt;$Q$6,  $U$62*$C351+$V$62,
  $C351&lt;$Q$7,  $U$63*$C351+$V$63,
  $C351&lt;$Q$8, $U$64*$C351+$V$64,
  $C351&lt;$Q$9, $U$65*$C351+$V$65,
  $C351&lt;$Q$10, $U$66*$C351+$V$66,
  $C351&lt;$Q$11,  $U$67*$C351+$V$67,
  $C351&lt;$Q$12, $U$68*$C351+$V$68,
  $U$69*$C351+$V$69
)</f>
        <v>4</v>
      </c>
    </row>
    <row r="352" spans="2:31">
      <c r="B352">
        <f>'主翼(型紙出力)'!B195</f>
        <v>0</v>
      </c>
      <c r="C352">
        <f>'主翼(型紙出力)'!C195</f>
        <v>0</v>
      </c>
      <c r="D352">
        <f>'主翼(型紙出力)'!E195</f>
        <v>0</v>
      </c>
      <c r="E352">
        <f>'主翼(重量推算)'!CE192</f>
        <v>0</v>
      </c>
      <c r="F352" cm="1">
        <f t="array" ref="F352">_xlfn.SWITCH(TRUE,
  $C352&lt;$Q$5,  $S$22*$C352+$T$22,
  $C352&lt;$Q$6,  $S$23*$C352+$T$23,
  $C352&lt;$Q$7,  $S$24*$C352+$T$24,
  $C352&lt;$Q$8, $S$25*$C352+$T$25,
  $C352&lt;$Q$9, $S$26*$C352+$T$26,
  $C352&lt;$Q$10, $S$27*$C352+$T$27,
  $C352&lt;$Q$11,  $S$28*$C352+$T$28,
  $C352&lt;$Q$12, $S$29*$C352+$T$29,
  $S$30*$C352+$T$30
)</f>
        <v>1.1000000000000001</v>
      </c>
      <c r="G352" cm="1">
        <f t="array" ref="G352">_xlfn.SWITCH(TRUE,
  $C352&lt;$Q$5,  $U$22*$C352+$V$22,
  $C352&lt;$Q$6,  $U$23*$C352+$V$23,
  $C352&lt;$Q$7,  $U$24*$C352+$V$24,
  $C352&lt;$Q$8, $U$25*$C352+$V$25,
  $C352&lt;$Q$9, $U$26*$C352+$V$26,
  $C352&lt;$Q$10, $U$27*$C352+$V$27,
  $C352&lt;$Q$11,  $U$28*$C352+$V$28,
  $C352&lt;$Q$12, $U$29*$C352+$V$29,
  $U$30*$C352+$V$30
)</f>
        <v>3.4</v>
      </c>
      <c r="H352" cm="1">
        <f t="array" ref="H352">_xlfn.LET(
  _xlpm.y,$C352,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2" cm="1">
        <f t="array" ref="I352">_xlfn.LET(
  _xlpm.y,$C352,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2" cm="1">
        <f t="array" ref="J352">_xlfn.LET(
  _xlpm.y,$C352,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2" cm="1">
        <f t="array" ref="K352">_xlfn.LET(
  _xlpm.y,$C352,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2" cm="1">
        <f t="array" ref="L352">_xlfn.LET(
  _xlpm.y,$C352,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2" cm="1">
        <f t="array" ref="M352">_xlfn.SWITCH(TRUE,
  $C352&lt;$Q$5,  $D$22,
  $C352&lt;$Q$6,  $D$23,
  $C352&lt;$Q$7,  $D$24,
  $C352&lt;$Q$8,  $D$25,
  $C352&lt;$Q$9,  $D$26,
  $C352&lt;$Q$10,  $D$27,
  $C352&lt;$Q$11,  $D$28,
  $C352&lt;$Q$12,  $D$29,
  $C352&lt;$Q$13,  $D$30,
  $C352&lt;100,  $D$31,
)</f>
        <v>0</v>
      </c>
      <c r="R352" s="244" cm="1">
        <f t="array" ref="R352">_xlfn.SWITCH(TRUE,
  $C352&lt;$Q$5,  $S$41*$C352+$T$41,
  $C352&lt;$Q$6,  $S$42*$C352+$T$42,
  $C352&lt;$Q$7,  $S$43*$C352+$T$43,
  $C352&lt;$Q$8, $S$44*$C352+$T$44,
  $C352&lt;$Q$9, $S$45*$C352+$T$45,
  $C352&lt;$Q$10, $S$46*$C352+$T$46,
  $C352&lt;$Q$11,  $S$47*$C352+$T$47,
  $C352&lt;$Q$12, $S$48*$C352+$T$48,
  $S$49*$C352+$T$49
)</f>
        <v>1.1000000000000001</v>
      </c>
      <c r="S352" cm="1">
        <f t="array" ref="S352">_xlfn.SWITCH(TRUE,
  $C352&lt;$Q$5,  $U$41*$C352+$V$41,
  $C352&lt;$Q$6,  $U$42*$C352+$V$42,
  $C352&lt;$Q$7,  $U$43*$C352+$V$43,
  $C352&lt;$Q$8, $U$44*$C352+$V$44,
  $C352&lt;$Q$9, $U$45*$C352+$V$45,
  $C352&lt;$Q$10, $U$46*$C352+$V$46,
  $C352&lt;$Q$11,  $U$47*$C352+$V$47,
  $C352&lt;$Q$12, $U$48*$C352+$V$48,
  $U$49*$C352+$V$49
)</f>
        <v>3.8</v>
      </c>
      <c r="AE352" cm="1">
        <f t="array" ref="AE352">_xlfn.SWITCH(TRUE,
  $C352&lt;$Q$5,  $U$61*$C352+$V$61,
  $C352&lt;$Q$6,  $U$62*$C352+$V$62,
  $C352&lt;$Q$7,  $U$63*$C352+$V$63,
  $C352&lt;$Q$8, $U$64*$C352+$V$64,
  $C352&lt;$Q$9, $U$65*$C352+$V$65,
  $C352&lt;$Q$10, $U$66*$C352+$V$66,
  $C352&lt;$Q$11,  $U$67*$C352+$V$67,
  $C352&lt;$Q$12, $U$68*$C352+$V$68,
  $U$69*$C352+$V$69
)</f>
        <v>4</v>
      </c>
    </row>
    <row r="353" spans="2:31">
      <c r="B353">
        <f>'主翼(型紙出力)'!B196</f>
        <v>0</v>
      </c>
      <c r="C353">
        <f>'主翼(型紙出力)'!C196</f>
        <v>0</v>
      </c>
      <c r="D353">
        <f>'主翼(型紙出力)'!E196</f>
        <v>0</v>
      </c>
      <c r="E353">
        <f>'主翼(重量推算)'!CE193</f>
        <v>0</v>
      </c>
      <c r="F353" cm="1">
        <f t="array" ref="F353">_xlfn.SWITCH(TRUE,
  $C353&lt;$Q$5,  $S$22*$C353+$T$22,
  $C353&lt;$Q$6,  $S$23*$C353+$T$23,
  $C353&lt;$Q$7,  $S$24*$C353+$T$24,
  $C353&lt;$Q$8, $S$25*$C353+$T$25,
  $C353&lt;$Q$9, $S$26*$C353+$T$26,
  $C353&lt;$Q$10, $S$27*$C353+$T$27,
  $C353&lt;$Q$11,  $S$28*$C353+$T$28,
  $C353&lt;$Q$12, $S$29*$C353+$T$29,
  $S$30*$C353+$T$30
)</f>
        <v>1.1000000000000001</v>
      </c>
      <c r="G353" cm="1">
        <f t="array" ref="G353">_xlfn.SWITCH(TRUE,
  $C353&lt;$Q$5,  $U$22*$C353+$V$22,
  $C353&lt;$Q$6,  $U$23*$C353+$V$23,
  $C353&lt;$Q$7,  $U$24*$C353+$V$24,
  $C353&lt;$Q$8, $U$25*$C353+$V$25,
  $C353&lt;$Q$9, $U$26*$C353+$V$26,
  $C353&lt;$Q$10, $U$27*$C353+$V$27,
  $C353&lt;$Q$11,  $U$28*$C353+$V$28,
  $C353&lt;$Q$12, $U$29*$C353+$V$29,
  $U$30*$C353+$V$30
)</f>
        <v>3.4</v>
      </c>
      <c r="H353" cm="1">
        <f t="array" ref="H353">_xlfn.LET(
  _xlpm.y,$C353,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3" cm="1">
        <f t="array" ref="I353">_xlfn.LET(
  _xlpm.y,$C353,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3" cm="1">
        <f t="array" ref="J353">_xlfn.LET(
  _xlpm.y,$C353,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3" cm="1">
        <f t="array" ref="K353">_xlfn.LET(
  _xlpm.y,$C353,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3" cm="1">
        <f t="array" ref="L353">_xlfn.LET(
  _xlpm.y,$C353,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3" cm="1">
        <f t="array" ref="M353">_xlfn.SWITCH(TRUE,
  $C353&lt;$Q$5,  $D$22,
  $C353&lt;$Q$6,  $D$23,
  $C353&lt;$Q$7,  $D$24,
  $C353&lt;$Q$8,  $D$25,
  $C353&lt;$Q$9,  $D$26,
  $C353&lt;$Q$10,  $D$27,
  $C353&lt;$Q$11,  $D$28,
  $C353&lt;$Q$12,  $D$29,
  $C353&lt;$Q$13,  $D$30,
  $C353&lt;100,  $D$31,
)</f>
        <v>0</v>
      </c>
      <c r="R353" s="244" cm="1">
        <f t="array" ref="R353">_xlfn.SWITCH(TRUE,
  $C353&lt;$Q$5,  $S$41*$C353+$T$41,
  $C353&lt;$Q$6,  $S$42*$C353+$T$42,
  $C353&lt;$Q$7,  $S$43*$C353+$T$43,
  $C353&lt;$Q$8, $S$44*$C353+$T$44,
  $C353&lt;$Q$9, $S$45*$C353+$T$45,
  $C353&lt;$Q$10, $S$46*$C353+$T$46,
  $C353&lt;$Q$11,  $S$47*$C353+$T$47,
  $C353&lt;$Q$12, $S$48*$C353+$T$48,
  $S$49*$C353+$T$49
)</f>
        <v>1.1000000000000001</v>
      </c>
      <c r="S353" cm="1">
        <f t="array" ref="S353">_xlfn.SWITCH(TRUE,
  $C353&lt;$Q$5,  $U$41*$C353+$V$41,
  $C353&lt;$Q$6,  $U$42*$C353+$V$42,
  $C353&lt;$Q$7,  $U$43*$C353+$V$43,
  $C353&lt;$Q$8, $U$44*$C353+$V$44,
  $C353&lt;$Q$9, $U$45*$C353+$V$45,
  $C353&lt;$Q$10, $U$46*$C353+$V$46,
  $C353&lt;$Q$11,  $U$47*$C353+$V$47,
  $C353&lt;$Q$12, $U$48*$C353+$V$48,
  $U$49*$C353+$V$49
)</f>
        <v>3.8</v>
      </c>
      <c r="AE353" cm="1">
        <f t="array" ref="AE353">_xlfn.SWITCH(TRUE,
  $C353&lt;$Q$5,  $U$61*$C353+$V$61,
  $C353&lt;$Q$6,  $U$62*$C353+$V$62,
  $C353&lt;$Q$7,  $U$63*$C353+$V$63,
  $C353&lt;$Q$8, $U$64*$C353+$V$64,
  $C353&lt;$Q$9, $U$65*$C353+$V$65,
  $C353&lt;$Q$10, $U$66*$C353+$V$66,
  $C353&lt;$Q$11,  $U$67*$C353+$V$67,
  $C353&lt;$Q$12, $U$68*$C353+$V$68,
  $U$69*$C353+$V$69
)</f>
        <v>4</v>
      </c>
    </row>
    <row r="354" spans="2:31">
      <c r="B354">
        <f>'主翼(型紙出力)'!B197</f>
        <v>0</v>
      </c>
      <c r="C354">
        <f>'主翼(型紙出力)'!C197</f>
        <v>0</v>
      </c>
      <c r="D354">
        <f>'主翼(型紙出力)'!E197</f>
        <v>0</v>
      </c>
      <c r="E354">
        <f>'主翼(重量推算)'!CE194</f>
        <v>0</v>
      </c>
      <c r="F354" cm="1">
        <f t="array" ref="F354">_xlfn.SWITCH(TRUE,
  $C354&lt;$Q$5,  $S$22*$C354+$T$22,
  $C354&lt;$Q$6,  $S$23*$C354+$T$23,
  $C354&lt;$Q$7,  $S$24*$C354+$T$24,
  $C354&lt;$Q$8, $S$25*$C354+$T$25,
  $C354&lt;$Q$9, $S$26*$C354+$T$26,
  $C354&lt;$Q$10, $S$27*$C354+$T$27,
  $C354&lt;$Q$11,  $S$28*$C354+$T$28,
  $C354&lt;$Q$12, $S$29*$C354+$T$29,
  $S$30*$C354+$T$30
)</f>
        <v>1.1000000000000001</v>
      </c>
      <c r="G354" cm="1">
        <f t="array" ref="G354">_xlfn.SWITCH(TRUE,
  $C354&lt;$Q$5,  $U$22*$C354+$V$22,
  $C354&lt;$Q$6,  $U$23*$C354+$V$23,
  $C354&lt;$Q$7,  $U$24*$C354+$V$24,
  $C354&lt;$Q$8, $U$25*$C354+$V$25,
  $C354&lt;$Q$9, $U$26*$C354+$V$26,
  $C354&lt;$Q$10, $U$27*$C354+$V$27,
  $C354&lt;$Q$11,  $U$28*$C354+$V$28,
  $C354&lt;$Q$12, $U$29*$C354+$V$29,
  $U$30*$C354+$V$30
)</f>
        <v>3.4</v>
      </c>
      <c r="H354" cm="1">
        <f t="array" ref="H354">_xlfn.LET(
  _xlpm.y,$C354,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4" cm="1">
        <f t="array" ref="I354">_xlfn.LET(
  _xlpm.y,$C354,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4" cm="1">
        <f t="array" ref="J354">_xlfn.LET(
  _xlpm.y,$C354,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4" cm="1">
        <f t="array" ref="K354">_xlfn.LET(
  _xlpm.y,$C354,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4" cm="1">
        <f t="array" ref="L354">_xlfn.LET(
  _xlpm.y,$C354,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4" cm="1">
        <f t="array" ref="M354">_xlfn.SWITCH(TRUE,
  $C354&lt;$Q$5,  $D$22,
  $C354&lt;$Q$6,  $D$23,
  $C354&lt;$Q$7,  $D$24,
  $C354&lt;$Q$8,  $D$25,
  $C354&lt;$Q$9,  $D$26,
  $C354&lt;$Q$10,  $D$27,
  $C354&lt;$Q$11,  $D$28,
  $C354&lt;$Q$12,  $D$29,
  $C354&lt;$Q$13,  $D$30,
  $C354&lt;100,  $D$31,
)</f>
        <v>0</v>
      </c>
      <c r="R354" s="244" cm="1">
        <f t="array" ref="R354">_xlfn.SWITCH(TRUE,
  $C354&lt;$Q$5,  $S$41*$C354+$T$41,
  $C354&lt;$Q$6,  $S$42*$C354+$T$42,
  $C354&lt;$Q$7,  $S$43*$C354+$T$43,
  $C354&lt;$Q$8, $S$44*$C354+$T$44,
  $C354&lt;$Q$9, $S$45*$C354+$T$45,
  $C354&lt;$Q$10, $S$46*$C354+$T$46,
  $C354&lt;$Q$11,  $S$47*$C354+$T$47,
  $C354&lt;$Q$12, $S$48*$C354+$T$48,
  $S$49*$C354+$T$49
)</f>
        <v>1.1000000000000001</v>
      </c>
      <c r="S354" cm="1">
        <f t="array" ref="S354">_xlfn.SWITCH(TRUE,
  $C354&lt;$Q$5,  $U$41*$C354+$V$41,
  $C354&lt;$Q$6,  $U$42*$C354+$V$42,
  $C354&lt;$Q$7,  $U$43*$C354+$V$43,
  $C354&lt;$Q$8, $U$44*$C354+$V$44,
  $C354&lt;$Q$9, $U$45*$C354+$V$45,
  $C354&lt;$Q$10, $U$46*$C354+$V$46,
  $C354&lt;$Q$11,  $U$47*$C354+$V$47,
  $C354&lt;$Q$12, $U$48*$C354+$V$48,
  $U$49*$C354+$V$49
)</f>
        <v>3.8</v>
      </c>
      <c r="AE354" cm="1">
        <f t="array" ref="AE354">_xlfn.SWITCH(TRUE,
  $C354&lt;$Q$5,  $U$61*$C354+$V$61,
  $C354&lt;$Q$6,  $U$62*$C354+$V$62,
  $C354&lt;$Q$7,  $U$63*$C354+$V$63,
  $C354&lt;$Q$8, $U$64*$C354+$V$64,
  $C354&lt;$Q$9, $U$65*$C354+$V$65,
  $C354&lt;$Q$10, $U$66*$C354+$V$66,
  $C354&lt;$Q$11,  $U$67*$C354+$V$67,
  $C354&lt;$Q$12, $U$68*$C354+$V$68,
  $U$69*$C354+$V$69
)</f>
        <v>4</v>
      </c>
    </row>
    <row r="355" spans="2:31">
      <c r="B355">
        <f>'主翼(型紙出力)'!B198</f>
        <v>0</v>
      </c>
      <c r="C355">
        <f>'主翼(型紙出力)'!C198</f>
        <v>0</v>
      </c>
      <c r="D355">
        <f>'主翼(型紙出力)'!E198</f>
        <v>0</v>
      </c>
      <c r="E355">
        <f>'主翼(重量推算)'!CE195</f>
        <v>0</v>
      </c>
      <c r="F355" cm="1">
        <f t="array" ref="F355">_xlfn.SWITCH(TRUE,
  $C355&lt;$Q$5,  $S$22*$C355+$T$22,
  $C355&lt;$Q$6,  $S$23*$C355+$T$23,
  $C355&lt;$Q$7,  $S$24*$C355+$T$24,
  $C355&lt;$Q$8, $S$25*$C355+$T$25,
  $C355&lt;$Q$9, $S$26*$C355+$T$26,
  $C355&lt;$Q$10, $S$27*$C355+$T$27,
  $C355&lt;$Q$11,  $S$28*$C355+$T$28,
  $C355&lt;$Q$12, $S$29*$C355+$T$29,
  $S$30*$C355+$T$30
)</f>
        <v>1.1000000000000001</v>
      </c>
      <c r="G355" cm="1">
        <f t="array" ref="G355">_xlfn.SWITCH(TRUE,
  $C355&lt;$Q$5,  $U$22*$C355+$V$22,
  $C355&lt;$Q$6,  $U$23*$C355+$V$23,
  $C355&lt;$Q$7,  $U$24*$C355+$V$24,
  $C355&lt;$Q$8, $U$25*$C355+$V$25,
  $C355&lt;$Q$9, $U$26*$C355+$V$26,
  $C355&lt;$Q$10, $U$27*$C355+$V$27,
  $C355&lt;$Q$11,  $U$28*$C355+$V$28,
  $C355&lt;$Q$12, $U$29*$C355+$V$29,
  $U$30*$C355+$V$30
)</f>
        <v>3.4</v>
      </c>
      <c r="H355" cm="1">
        <f t="array" ref="H355">_xlfn.LET(
  _xlpm.y,$C355,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5" cm="1">
        <f t="array" ref="I355">_xlfn.LET(
  _xlpm.y,$C355,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5" cm="1">
        <f t="array" ref="J355">_xlfn.LET(
  _xlpm.y,$C355,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5" cm="1">
        <f t="array" ref="K355">_xlfn.LET(
  _xlpm.y,$C355,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5" cm="1">
        <f t="array" ref="L355">_xlfn.LET(
  _xlpm.y,$C355,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5" cm="1">
        <f t="array" ref="M355">_xlfn.SWITCH(TRUE,
  $C355&lt;$Q$5,  $D$22,
  $C355&lt;$Q$6,  $D$23,
  $C355&lt;$Q$7,  $D$24,
  $C355&lt;$Q$8,  $D$25,
  $C355&lt;$Q$9,  $D$26,
  $C355&lt;$Q$10,  $D$27,
  $C355&lt;$Q$11,  $D$28,
  $C355&lt;$Q$12,  $D$29,
  $C355&lt;$Q$13,  $D$30,
  $C355&lt;100,  $D$31,
)</f>
        <v>0</v>
      </c>
      <c r="R355" s="244" cm="1">
        <f t="array" ref="R355">_xlfn.SWITCH(TRUE,
  $C355&lt;$Q$5,  $S$41*$C355+$T$41,
  $C355&lt;$Q$6,  $S$42*$C355+$T$42,
  $C355&lt;$Q$7,  $S$43*$C355+$T$43,
  $C355&lt;$Q$8, $S$44*$C355+$T$44,
  $C355&lt;$Q$9, $S$45*$C355+$T$45,
  $C355&lt;$Q$10, $S$46*$C355+$T$46,
  $C355&lt;$Q$11,  $S$47*$C355+$T$47,
  $C355&lt;$Q$12, $S$48*$C355+$T$48,
  $S$49*$C355+$T$49
)</f>
        <v>1.1000000000000001</v>
      </c>
      <c r="S355" cm="1">
        <f t="array" ref="S355">_xlfn.SWITCH(TRUE,
  $C355&lt;$Q$5,  $U$41*$C355+$V$41,
  $C355&lt;$Q$6,  $U$42*$C355+$V$42,
  $C355&lt;$Q$7,  $U$43*$C355+$V$43,
  $C355&lt;$Q$8, $U$44*$C355+$V$44,
  $C355&lt;$Q$9, $U$45*$C355+$V$45,
  $C355&lt;$Q$10, $U$46*$C355+$V$46,
  $C355&lt;$Q$11,  $U$47*$C355+$V$47,
  $C355&lt;$Q$12, $U$48*$C355+$V$48,
  $U$49*$C355+$V$49
)</f>
        <v>3.8</v>
      </c>
      <c r="AE355" cm="1">
        <f t="array" ref="AE355">_xlfn.SWITCH(TRUE,
  $C355&lt;$Q$5,  $U$61*$C355+$V$61,
  $C355&lt;$Q$6,  $U$62*$C355+$V$62,
  $C355&lt;$Q$7,  $U$63*$C355+$V$63,
  $C355&lt;$Q$8, $U$64*$C355+$V$64,
  $C355&lt;$Q$9, $U$65*$C355+$V$65,
  $C355&lt;$Q$10, $U$66*$C355+$V$66,
  $C355&lt;$Q$11,  $U$67*$C355+$V$67,
  $C355&lt;$Q$12, $U$68*$C355+$V$68,
  $U$69*$C355+$V$69
)</f>
        <v>4</v>
      </c>
    </row>
    <row r="356" spans="2:31">
      <c r="B356">
        <f>'主翼(型紙出力)'!B199</f>
        <v>0</v>
      </c>
      <c r="C356">
        <f>'主翼(型紙出力)'!C199</f>
        <v>0</v>
      </c>
      <c r="D356">
        <f>'主翼(型紙出力)'!E199</f>
        <v>0</v>
      </c>
      <c r="E356">
        <f>'主翼(重量推算)'!CE196</f>
        <v>0</v>
      </c>
      <c r="F356" cm="1">
        <f t="array" ref="F356">_xlfn.SWITCH(TRUE,
  $C356&lt;$Q$5,  $S$22*$C356+$T$22,
  $C356&lt;$Q$6,  $S$23*$C356+$T$23,
  $C356&lt;$Q$7,  $S$24*$C356+$T$24,
  $C356&lt;$Q$8, $S$25*$C356+$T$25,
  $C356&lt;$Q$9, $S$26*$C356+$T$26,
  $C356&lt;$Q$10, $S$27*$C356+$T$27,
  $C356&lt;$Q$11,  $S$28*$C356+$T$28,
  $C356&lt;$Q$12, $S$29*$C356+$T$29,
  $S$30*$C356+$T$30
)</f>
        <v>1.1000000000000001</v>
      </c>
      <c r="G356" cm="1">
        <f t="array" ref="G356">_xlfn.SWITCH(TRUE,
  $C356&lt;$Q$5,  $U$22*$C356+$V$22,
  $C356&lt;$Q$6,  $U$23*$C356+$V$23,
  $C356&lt;$Q$7,  $U$24*$C356+$V$24,
  $C356&lt;$Q$8, $U$25*$C356+$V$25,
  $C356&lt;$Q$9, $U$26*$C356+$V$26,
  $C356&lt;$Q$10, $U$27*$C356+$V$27,
  $C356&lt;$Q$11,  $U$28*$C356+$V$28,
  $C356&lt;$Q$12, $U$29*$C356+$V$29,
  $U$30*$C356+$V$30
)</f>
        <v>3.4</v>
      </c>
      <c r="H356" cm="1">
        <f t="array" ref="H356">_xlfn.LET(
  _xlpm.y,$C356,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6" cm="1">
        <f t="array" ref="I356">_xlfn.LET(
  _xlpm.y,$C356,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6" cm="1">
        <f t="array" ref="J356">_xlfn.LET(
  _xlpm.y,$C356,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6" cm="1">
        <f t="array" ref="K356">_xlfn.LET(
  _xlpm.y,$C356,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6" cm="1">
        <f t="array" ref="L356">_xlfn.LET(
  _xlpm.y,$C356,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6" cm="1">
        <f t="array" ref="M356">_xlfn.SWITCH(TRUE,
  $C356&lt;$Q$5,  $D$22,
  $C356&lt;$Q$6,  $D$23,
  $C356&lt;$Q$7,  $D$24,
  $C356&lt;$Q$8,  $D$25,
  $C356&lt;$Q$9,  $D$26,
  $C356&lt;$Q$10,  $D$27,
  $C356&lt;$Q$11,  $D$28,
  $C356&lt;$Q$12,  $D$29,
  $C356&lt;$Q$13,  $D$30,
  $C356&lt;100,  $D$31,
)</f>
        <v>0</v>
      </c>
      <c r="R356" s="244" cm="1">
        <f t="array" ref="R356">_xlfn.SWITCH(TRUE,
  $C356&lt;$Q$5,  $S$41*$C356+$T$41,
  $C356&lt;$Q$6,  $S$42*$C356+$T$42,
  $C356&lt;$Q$7,  $S$43*$C356+$T$43,
  $C356&lt;$Q$8, $S$44*$C356+$T$44,
  $C356&lt;$Q$9, $S$45*$C356+$T$45,
  $C356&lt;$Q$10, $S$46*$C356+$T$46,
  $C356&lt;$Q$11,  $S$47*$C356+$T$47,
  $C356&lt;$Q$12, $S$48*$C356+$T$48,
  $S$49*$C356+$T$49
)</f>
        <v>1.1000000000000001</v>
      </c>
      <c r="S356" cm="1">
        <f t="array" ref="S356">_xlfn.SWITCH(TRUE,
  $C356&lt;$Q$5,  $U$41*$C356+$V$41,
  $C356&lt;$Q$6,  $U$42*$C356+$V$42,
  $C356&lt;$Q$7,  $U$43*$C356+$V$43,
  $C356&lt;$Q$8, $U$44*$C356+$V$44,
  $C356&lt;$Q$9, $U$45*$C356+$V$45,
  $C356&lt;$Q$10, $U$46*$C356+$V$46,
  $C356&lt;$Q$11,  $U$47*$C356+$V$47,
  $C356&lt;$Q$12, $U$48*$C356+$V$48,
  $U$49*$C356+$V$49
)</f>
        <v>3.8</v>
      </c>
      <c r="AE356" cm="1">
        <f t="array" ref="AE356">_xlfn.SWITCH(TRUE,
  $C356&lt;$Q$5,  $U$61*$C356+$V$61,
  $C356&lt;$Q$6,  $U$62*$C356+$V$62,
  $C356&lt;$Q$7,  $U$63*$C356+$V$63,
  $C356&lt;$Q$8, $U$64*$C356+$V$64,
  $C356&lt;$Q$9, $U$65*$C356+$V$65,
  $C356&lt;$Q$10, $U$66*$C356+$V$66,
  $C356&lt;$Q$11,  $U$67*$C356+$V$67,
  $C356&lt;$Q$12, $U$68*$C356+$V$68,
  $U$69*$C356+$V$69
)</f>
        <v>4</v>
      </c>
    </row>
    <row r="357" spans="2:31">
      <c r="B357">
        <f>'主翼(型紙出力)'!B200</f>
        <v>0</v>
      </c>
      <c r="C357">
        <f>'主翼(型紙出力)'!C200</f>
        <v>0</v>
      </c>
      <c r="D357">
        <f>'主翼(型紙出力)'!E200</f>
        <v>0</v>
      </c>
      <c r="E357">
        <f>'主翼(重量推算)'!CE197</f>
        <v>0</v>
      </c>
      <c r="F357" cm="1">
        <f t="array" ref="F357">_xlfn.SWITCH(TRUE,
  $C357&lt;$Q$5,  $S$22*$C357+$T$22,
  $C357&lt;$Q$6,  $S$23*$C357+$T$23,
  $C357&lt;$Q$7,  $S$24*$C357+$T$24,
  $C357&lt;$Q$8, $S$25*$C357+$T$25,
  $C357&lt;$Q$9, $S$26*$C357+$T$26,
  $C357&lt;$Q$10, $S$27*$C357+$T$27,
  $C357&lt;$Q$11,  $S$28*$C357+$T$28,
  $C357&lt;$Q$12, $S$29*$C357+$T$29,
  $S$30*$C357+$T$30
)</f>
        <v>1.1000000000000001</v>
      </c>
      <c r="G357" cm="1">
        <f t="array" ref="G357">_xlfn.SWITCH(TRUE,
  $C357&lt;$Q$5,  $U$22*$C357+$V$22,
  $C357&lt;$Q$6,  $U$23*$C357+$V$23,
  $C357&lt;$Q$7,  $U$24*$C357+$V$24,
  $C357&lt;$Q$8, $U$25*$C357+$V$25,
  $C357&lt;$Q$9, $U$26*$C357+$V$26,
  $C357&lt;$Q$10, $U$27*$C357+$V$27,
  $C357&lt;$Q$11,  $U$28*$C357+$V$28,
  $C357&lt;$Q$12, $U$29*$C357+$V$29,
  $U$30*$C357+$V$30
)</f>
        <v>3.4</v>
      </c>
      <c r="H357" cm="1">
        <f t="array" ref="H357">_xlfn.LET(
  _xlpm.y,$C357,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7" cm="1">
        <f t="array" ref="I357">_xlfn.LET(
  _xlpm.y,$C357,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7" cm="1">
        <f t="array" ref="J357">_xlfn.LET(
  _xlpm.y,$C357,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7" cm="1">
        <f t="array" ref="K357">_xlfn.LET(
  _xlpm.y,$C357,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7" cm="1">
        <f t="array" ref="L357">_xlfn.LET(
  _xlpm.y,$C357,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7" cm="1">
        <f t="array" ref="M357">_xlfn.SWITCH(TRUE,
  $C357&lt;$Q$5,  $D$22,
  $C357&lt;$Q$6,  $D$23,
  $C357&lt;$Q$7,  $D$24,
  $C357&lt;$Q$8,  $D$25,
  $C357&lt;$Q$9,  $D$26,
  $C357&lt;$Q$10,  $D$27,
  $C357&lt;$Q$11,  $D$28,
  $C357&lt;$Q$12,  $D$29,
  $C357&lt;$Q$13,  $D$30,
  $C357&lt;100,  $D$31,
)</f>
        <v>0</v>
      </c>
      <c r="R357" s="244" cm="1">
        <f t="array" ref="R357">_xlfn.SWITCH(TRUE,
  $C357&lt;$Q$5,  $S$41*$C357+$T$41,
  $C357&lt;$Q$6,  $S$42*$C357+$T$42,
  $C357&lt;$Q$7,  $S$43*$C357+$T$43,
  $C357&lt;$Q$8, $S$44*$C357+$T$44,
  $C357&lt;$Q$9, $S$45*$C357+$T$45,
  $C357&lt;$Q$10, $S$46*$C357+$T$46,
  $C357&lt;$Q$11,  $S$47*$C357+$T$47,
  $C357&lt;$Q$12, $S$48*$C357+$T$48,
  $S$49*$C357+$T$49
)</f>
        <v>1.1000000000000001</v>
      </c>
      <c r="S357" cm="1">
        <f t="array" ref="S357">_xlfn.SWITCH(TRUE,
  $C357&lt;$Q$5,  $U$41*$C357+$V$41,
  $C357&lt;$Q$6,  $U$42*$C357+$V$42,
  $C357&lt;$Q$7,  $U$43*$C357+$V$43,
  $C357&lt;$Q$8, $U$44*$C357+$V$44,
  $C357&lt;$Q$9, $U$45*$C357+$V$45,
  $C357&lt;$Q$10, $U$46*$C357+$V$46,
  $C357&lt;$Q$11,  $U$47*$C357+$V$47,
  $C357&lt;$Q$12, $U$48*$C357+$V$48,
  $U$49*$C357+$V$49
)</f>
        <v>3.8</v>
      </c>
      <c r="AE357" cm="1">
        <f t="array" ref="AE357">_xlfn.SWITCH(TRUE,
  $C357&lt;$Q$5,  $U$61*$C357+$V$61,
  $C357&lt;$Q$6,  $U$62*$C357+$V$62,
  $C357&lt;$Q$7,  $U$63*$C357+$V$63,
  $C357&lt;$Q$8, $U$64*$C357+$V$64,
  $C357&lt;$Q$9, $U$65*$C357+$V$65,
  $C357&lt;$Q$10, $U$66*$C357+$V$66,
  $C357&lt;$Q$11,  $U$67*$C357+$V$67,
  $C357&lt;$Q$12, $U$68*$C357+$V$68,
  $U$69*$C357+$V$69
)</f>
        <v>4</v>
      </c>
    </row>
    <row r="358" spans="2:31">
      <c r="B358">
        <f>'主翼(型紙出力)'!B201</f>
        <v>0</v>
      </c>
      <c r="C358">
        <f>'主翼(型紙出力)'!C201</f>
        <v>0</v>
      </c>
      <c r="D358">
        <f>'主翼(型紙出力)'!E201</f>
        <v>0</v>
      </c>
      <c r="E358">
        <f>'主翼(重量推算)'!CE198</f>
        <v>0</v>
      </c>
      <c r="F358" cm="1">
        <f t="array" ref="F358">_xlfn.SWITCH(TRUE,
  $C358&lt;$Q$5,  $S$22*$C358+$T$22,
  $C358&lt;$Q$6,  $S$23*$C358+$T$23,
  $C358&lt;$Q$7,  $S$24*$C358+$T$24,
  $C358&lt;$Q$8, $S$25*$C358+$T$25,
  $C358&lt;$Q$9, $S$26*$C358+$T$26,
  $C358&lt;$Q$10, $S$27*$C358+$T$27,
  $C358&lt;$Q$11,  $S$28*$C358+$T$28,
  $C358&lt;$Q$12, $S$29*$C358+$T$29,
  $S$30*$C358+$T$30
)</f>
        <v>1.1000000000000001</v>
      </c>
      <c r="G358" cm="1">
        <f t="array" ref="G358">_xlfn.SWITCH(TRUE,
  $C358&lt;$Q$5,  $U$22*$C358+$V$22,
  $C358&lt;$Q$6,  $U$23*$C358+$V$23,
  $C358&lt;$Q$7,  $U$24*$C358+$V$24,
  $C358&lt;$Q$8, $U$25*$C358+$V$25,
  $C358&lt;$Q$9, $U$26*$C358+$V$26,
  $C358&lt;$Q$10, $U$27*$C358+$V$27,
  $C358&lt;$Q$11,  $U$28*$C358+$V$28,
  $C358&lt;$Q$12, $U$29*$C358+$V$29,
  $U$30*$C358+$V$30
)</f>
        <v>3.4</v>
      </c>
      <c r="H358" cm="1">
        <f t="array" ref="H358">_xlfn.LET(
  _xlpm.y,$C358,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8" cm="1">
        <f t="array" ref="I358">_xlfn.LET(
  _xlpm.y,$C358,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8" cm="1">
        <f t="array" ref="J358">_xlfn.LET(
  _xlpm.y,$C358,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8" cm="1">
        <f t="array" ref="K358">_xlfn.LET(
  _xlpm.y,$C358,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8" cm="1">
        <f t="array" ref="L358">_xlfn.LET(
  _xlpm.y,$C358,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8" cm="1">
        <f t="array" ref="M358">_xlfn.SWITCH(TRUE,
  $C358&lt;$Q$5,  $D$22,
  $C358&lt;$Q$6,  $D$23,
  $C358&lt;$Q$7,  $D$24,
  $C358&lt;$Q$8,  $D$25,
  $C358&lt;$Q$9,  $D$26,
  $C358&lt;$Q$10,  $D$27,
  $C358&lt;$Q$11,  $D$28,
  $C358&lt;$Q$12,  $D$29,
  $C358&lt;$Q$13,  $D$30,
  $C358&lt;100,  $D$31,
)</f>
        <v>0</v>
      </c>
      <c r="R358" s="244" cm="1">
        <f t="array" ref="R358">_xlfn.SWITCH(TRUE,
  $C358&lt;$Q$5,  $S$41*$C358+$T$41,
  $C358&lt;$Q$6,  $S$42*$C358+$T$42,
  $C358&lt;$Q$7,  $S$43*$C358+$T$43,
  $C358&lt;$Q$8, $S$44*$C358+$T$44,
  $C358&lt;$Q$9, $S$45*$C358+$T$45,
  $C358&lt;$Q$10, $S$46*$C358+$T$46,
  $C358&lt;$Q$11,  $S$47*$C358+$T$47,
  $C358&lt;$Q$12, $S$48*$C358+$T$48,
  $S$49*$C358+$T$49
)</f>
        <v>1.1000000000000001</v>
      </c>
      <c r="S358" cm="1">
        <f t="array" ref="S358">_xlfn.SWITCH(TRUE,
  $C358&lt;$Q$5,  $U$41*$C358+$V$41,
  $C358&lt;$Q$6,  $U$42*$C358+$V$42,
  $C358&lt;$Q$7,  $U$43*$C358+$V$43,
  $C358&lt;$Q$8, $U$44*$C358+$V$44,
  $C358&lt;$Q$9, $U$45*$C358+$V$45,
  $C358&lt;$Q$10, $U$46*$C358+$V$46,
  $C358&lt;$Q$11,  $U$47*$C358+$V$47,
  $C358&lt;$Q$12, $U$48*$C358+$V$48,
  $U$49*$C358+$V$49
)</f>
        <v>3.8</v>
      </c>
      <c r="AE358" cm="1">
        <f t="array" ref="AE358">_xlfn.SWITCH(TRUE,
  $C358&lt;$Q$5,  $U$61*$C358+$V$61,
  $C358&lt;$Q$6,  $U$62*$C358+$V$62,
  $C358&lt;$Q$7,  $U$63*$C358+$V$63,
  $C358&lt;$Q$8, $U$64*$C358+$V$64,
  $C358&lt;$Q$9, $U$65*$C358+$V$65,
  $C358&lt;$Q$10, $U$66*$C358+$V$66,
  $C358&lt;$Q$11,  $U$67*$C358+$V$67,
  $C358&lt;$Q$12, $U$68*$C358+$V$68,
  $U$69*$C358+$V$69
)</f>
        <v>4</v>
      </c>
    </row>
    <row r="359" spans="2:31">
      <c r="B359">
        <f>'主翼(型紙出力)'!B202</f>
        <v>0</v>
      </c>
      <c r="C359">
        <f>'主翼(型紙出力)'!C202</f>
        <v>0</v>
      </c>
      <c r="D359">
        <f>'主翼(型紙出力)'!E202</f>
        <v>0</v>
      </c>
      <c r="E359">
        <f>'主翼(重量推算)'!CE199</f>
        <v>0</v>
      </c>
      <c r="F359" cm="1">
        <f t="array" ref="F359">_xlfn.SWITCH(TRUE,
  $C359&lt;$Q$5,  $S$22*$C359+$T$22,
  $C359&lt;$Q$6,  $S$23*$C359+$T$23,
  $C359&lt;$Q$7,  $S$24*$C359+$T$24,
  $C359&lt;$Q$8, $S$25*$C359+$T$25,
  $C359&lt;$Q$9, $S$26*$C359+$T$26,
  $C359&lt;$Q$10, $S$27*$C359+$T$27,
  $C359&lt;$Q$11,  $S$28*$C359+$T$28,
  $C359&lt;$Q$12, $S$29*$C359+$T$29,
  $S$30*$C359+$T$30
)</f>
        <v>1.1000000000000001</v>
      </c>
      <c r="G359" cm="1">
        <f t="array" ref="G359">_xlfn.SWITCH(TRUE,
  $C359&lt;$Q$5,  $U$22*$C359+$V$22,
  $C359&lt;$Q$6,  $U$23*$C359+$V$23,
  $C359&lt;$Q$7,  $U$24*$C359+$V$24,
  $C359&lt;$Q$8, $U$25*$C359+$V$25,
  $C359&lt;$Q$9, $U$26*$C359+$V$26,
  $C359&lt;$Q$10, $U$27*$C359+$V$27,
  $C359&lt;$Q$11,  $U$28*$C359+$V$28,
  $C359&lt;$Q$12, $U$29*$C359+$V$29,
  $U$30*$C359+$V$30
)</f>
        <v>3.4</v>
      </c>
      <c r="H359" cm="1">
        <f t="array" ref="H359">_xlfn.LET(
  _xlpm.y,$C359,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9" cm="1">
        <f t="array" ref="I359">_xlfn.LET(
  _xlpm.y,$C359,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9" cm="1">
        <f t="array" ref="J359">_xlfn.LET(
  _xlpm.y,$C359,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9" cm="1">
        <f t="array" ref="K359">_xlfn.LET(
  _xlpm.y,$C359,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9" cm="1">
        <f t="array" ref="L359">_xlfn.LET(
  _xlpm.y,$C359,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9" cm="1">
        <f t="array" ref="M359">_xlfn.SWITCH(TRUE,
  $C359&lt;$Q$5,  $D$22,
  $C359&lt;$Q$6,  $D$23,
  $C359&lt;$Q$7,  $D$24,
  $C359&lt;$Q$8,  $D$25,
  $C359&lt;$Q$9,  $D$26,
  $C359&lt;$Q$10,  $D$27,
  $C359&lt;$Q$11,  $D$28,
  $C359&lt;$Q$12,  $D$29,
  $C359&lt;$Q$13,  $D$30,
  $C359&lt;100,  $D$31,
)</f>
        <v>0</v>
      </c>
      <c r="R359" s="244" cm="1">
        <f t="array" ref="R359">_xlfn.SWITCH(TRUE,
  $C359&lt;$Q$5,  $S$41*$C359+$T$41,
  $C359&lt;$Q$6,  $S$42*$C359+$T$42,
  $C359&lt;$Q$7,  $S$43*$C359+$T$43,
  $C359&lt;$Q$8, $S$44*$C359+$T$44,
  $C359&lt;$Q$9, $S$45*$C359+$T$45,
  $C359&lt;$Q$10, $S$46*$C359+$T$46,
  $C359&lt;$Q$11,  $S$47*$C359+$T$47,
  $C359&lt;$Q$12, $S$48*$C359+$T$48,
  $S$49*$C359+$T$49
)</f>
        <v>1.1000000000000001</v>
      </c>
      <c r="S359" cm="1">
        <f t="array" ref="S359">_xlfn.SWITCH(TRUE,
  $C359&lt;$Q$5,  $U$41*$C359+$V$41,
  $C359&lt;$Q$6,  $U$42*$C359+$V$42,
  $C359&lt;$Q$7,  $U$43*$C359+$V$43,
  $C359&lt;$Q$8, $U$44*$C359+$V$44,
  $C359&lt;$Q$9, $U$45*$C359+$V$45,
  $C359&lt;$Q$10, $U$46*$C359+$V$46,
  $C359&lt;$Q$11,  $U$47*$C359+$V$47,
  $C359&lt;$Q$12, $U$48*$C359+$V$48,
  $U$49*$C359+$V$49
)</f>
        <v>3.8</v>
      </c>
      <c r="AE359" cm="1">
        <f t="array" ref="AE359">_xlfn.SWITCH(TRUE,
  $C359&lt;$Q$5,  $U$61*$C359+$V$61,
  $C359&lt;$Q$6,  $U$62*$C359+$V$62,
  $C359&lt;$Q$7,  $U$63*$C359+$V$63,
  $C359&lt;$Q$8, $U$64*$C359+$V$64,
  $C359&lt;$Q$9, $U$65*$C359+$V$65,
  $C359&lt;$Q$10, $U$66*$C359+$V$66,
  $C359&lt;$Q$11,  $U$67*$C359+$V$67,
  $C359&lt;$Q$12, $U$68*$C359+$V$68,
  $U$69*$C359+$V$69
)</f>
        <v>4</v>
      </c>
    </row>
    <row r="360" spans="2:31">
      <c r="B360">
        <f>'主翼(型紙出力)'!B203</f>
        <v>0</v>
      </c>
      <c r="C360">
        <f>'主翼(型紙出力)'!C203</f>
        <v>0</v>
      </c>
      <c r="D360">
        <f>'主翼(型紙出力)'!E203</f>
        <v>0</v>
      </c>
      <c r="E360">
        <f>'主翼(重量推算)'!CE200</f>
        <v>0</v>
      </c>
      <c r="F360" cm="1">
        <f t="array" ref="F360">_xlfn.SWITCH(TRUE,
  $C360&lt;$Q$5,  $S$22*$C360+$T$22,
  $C360&lt;$Q$6,  $S$23*$C360+$T$23,
  $C360&lt;$Q$7,  $S$24*$C360+$T$24,
  $C360&lt;$Q$8, $S$25*$C360+$T$25,
  $C360&lt;$Q$9, $S$26*$C360+$T$26,
  $C360&lt;$Q$10, $S$27*$C360+$T$27,
  $C360&lt;$Q$11,  $S$28*$C360+$T$28,
  $C360&lt;$Q$12, $S$29*$C360+$T$29,
  $S$30*$C360+$T$30
)</f>
        <v>1.1000000000000001</v>
      </c>
      <c r="G360" cm="1">
        <f t="array" ref="G360">_xlfn.SWITCH(TRUE,
  $C360&lt;$Q$5,  $U$22*$C360+$V$22,
  $C360&lt;$Q$6,  $U$23*$C360+$V$23,
  $C360&lt;$Q$7,  $U$24*$C360+$V$24,
  $C360&lt;$Q$8, $U$25*$C360+$V$25,
  $C360&lt;$Q$9, $U$26*$C360+$V$26,
  $C360&lt;$Q$10, $U$27*$C360+$V$27,
  $C360&lt;$Q$11,  $U$28*$C360+$V$28,
  $C360&lt;$Q$12, $U$29*$C360+$V$29,
  $U$30*$C360+$V$30
)</f>
        <v>3.4</v>
      </c>
      <c r="H360" cm="1">
        <f t="array" ref="H360">_xlfn.LET(
  _xlpm.y,$C360,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0" cm="1">
        <f t="array" ref="I360">_xlfn.LET(
  _xlpm.y,$C360,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0" cm="1">
        <f t="array" ref="J360">_xlfn.LET(
  _xlpm.y,$C360,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0" cm="1">
        <f t="array" ref="K360">_xlfn.LET(
  _xlpm.y,$C360,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0" cm="1">
        <f t="array" ref="L360">_xlfn.LET(
  _xlpm.y,$C360,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0" cm="1">
        <f t="array" ref="M360">_xlfn.SWITCH(TRUE,
  $C360&lt;$Q$5,  $D$22,
  $C360&lt;$Q$6,  $D$23,
  $C360&lt;$Q$7,  $D$24,
  $C360&lt;$Q$8,  $D$25,
  $C360&lt;$Q$9,  $D$26,
  $C360&lt;$Q$10,  $D$27,
  $C360&lt;$Q$11,  $D$28,
  $C360&lt;$Q$12,  $D$29,
  $C360&lt;$Q$13,  $D$30,
  $C360&lt;100,  $D$31,
)</f>
        <v>0</v>
      </c>
      <c r="R360" s="244" cm="1">
        <f t="array" ref="R360">_xlfn.SWITCH(TRUE,
  $C360&lt;$Q$5,  $S$41*$C360+$T$41,
  $C360&lt;$Q$6,  $S$42*$C360+$T$42,
  $C360&lt;$Q$7,  $S$43*$C360+$T$43,
  $C360&lt;$Q$8, $S$44*$C360+$T$44,
  $C360&lt;$Q$9, $S$45*$C360+$T$45,
  $C360&lt;$Q$10, $S$46*$C360+$T$46,
  $C360&lt;$Q$11,  $S$47*$C360+$T$47,
  $C360&lt;$Q$12, $S$48*$C360+$T$48,
  $S$49*$C360+$T$49
)</f>
        <v>1.1000000000000001</v>
      </c>
      <c r="S360" cm="1">
        <f t="array" ref="S360">_xlfn.SWITCH(TRUE,
  $C360&lt;$Q$5,  $U$41*$C360+$V$41,
  $C360&lt;$Q$6,  $U$42*$C360+$V$42,
  $C360&lt;$Q$7,  $U$43*$C360+$V$43,
  $C360&lt;$Q$8, $U$44*$C360+$V$44,
  $C360&lt;$Q$9, $U$45*$C360+$V$45,
  $C360&lt;$Q$10, $U$46*$C360+$V$46,
  $C360&lt;$Q$11,  $U$47*$C360+$V$47,
  $C360&lt;$Q$12, $U$48*$C360+$V$48,
  $U$49*$C360+$V$49
)</f>
        <v>3.8</v>
      </c>
      <c r="AE360" cm="1">
        <f t="array" ref="AE360">_xlfn.SWITCH(TRUE,
  $C360&lt;$Q$5,  $U$61*$C360+$V$61,
  $C360&lt;$Q$6,  $U$62*$C360+$V$62,
  $C360&lt;$Q$7,  $U$63*$C360+$V$63,
  $C360&lt;$Q$8, $U$64*$C360+$V$64,
  $C360&lt;$Q$9, $U$65*$C360+$V$65,
  $C360&lt;$Q$10, $U$66*$C360+$V$66,
  $C360&lt;$Q$11,  $U$67*$C360+$V$67,
  $C360&lt;$Q$12, $U$68*$C360+$V$68,
  $U$69*$C360+$V$69
)</f>
        <v>4</v>
      </c>
    </row>
    <row r="361" spans="2:31">
      <c r="B361">
        <f>'主翼(型紙出力)'!B204</f>
        <v>0</v>
      </c>
      <c r="C361">
        <f>'主翼(型紙出力)'!C204</f>
        <v>0</v>
      </c>
      <c r="D361">
        <f>'主翼(型紙出力)'!E204</f>
        <v>0</v>
      </c>
      <c r="E361">
        <f>'主翼(重量推算)'!CE201</f>
        <v>0</v>
      </c>
      <c r="F361" cm="1">
        <f t="array" ref="F361">_xlfn.SWITCH(TRUE,
  $C361&lt;$Q$5,  $S$22*$C361+$T$22,
  $C361&lt;$Q$6,  $S$23*$C361+$T$23,
  $C361&lt;$Q$7,  $S$24*$C361+$T$24,
  $C361&lt;$Q$8, $S$25*$C361+$T$25,
  $C361&lt;$Q$9, $S$26*$C361+$T$26,
  $C361&lt;$Q$10, $S$27*$C361+$T$27,
  $C361&lt;$Q$11,  $S$28*$C361+$T$28,
  $C361&lt;$Q$12, $S$29*$C361+$T$29,
  $S$30*$C361+$T$30
)</f>
        <v>1.1000000000000001</v>
      </c>
      <c r="G361" cm="1">
        <f t="array" ref="G361">_xlfn.SWITCH(TRUE,
  $C361&lt;$Q$5,  $U$22*$C361+$V$22,
  $C361&lt;$Q$6,  $U$23*$C361+$V$23,
  $C361&lt;$Q$7,  $U$24*$C361+$V$24,
  $C361&lt;$Q$8, $U$25*$C361+$V$25,
  $C361&lt;$Q$9, $U$26*$C361+$V$26,
  $C361&lt;$Q$10, $U$27*$C361+$V$27,
  $C361&lt;$Q$11,  $U$28*$C361+$V$28,
  $C361&lt;$Q$12, $U$29*$C361+$V$29,
  $U$30*$C361+$V$30
)</f>
        <v>3.4</v>
      </c>
      <c r="H361" cm="1">
        <f t="array" ref="H361">_xlfn.LET(
  _xlpm.y,$C361,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1" cm="1">
        <f t="array" ref="I361">_xlfn.LET(
  _xlpm.y,$C361,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1" cm="1">
        <f t="array" ref="J361">_xlfn.LET(
  _xlpm.y,$C361,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1" cm="1">
        <f t="array" ref="K361">_xlfn.LET(
  _xlpm.y,$C361,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1" cm="1">
        <f t="array" ref="L361">_xlfn.LET(
  _xlpm.y,$C361,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1" cm="1">
        <f t="array" ref="M361">_xlfn.SWITCH(TRUE,
  $C361&lt;$Q$5,  $D$22,
  $C361&lt;$Q$6,  $D$23,
  $C361&lt;$Q$7,  $D$24,
  $C361&lt;$Q$8,  $D$25,
  $C361&lt;$Q$9,  $D$26,
  $C361&lt;$Q$10,  $D$27,
  $C361&lt;$Q$11,  $D$28,
  $C361&lt;$Q$12,  $D$29,
  $C361&lt;$Q$13,  $D$30,
  $C361&lt;100,  $D$31,
)</f>
        <v>0</v>
      </c>
      <c r="R361" s="244" cm="1">
        <f t="array" ref="R361">_xlfn.SWITCH(TRUE,
  $C361&lt;$Q$5,  $S$41*$C361+$T$41,
  $C361&lt;$Q$6,  $S$42*$C361+$T$42,
  $C361&lt;$Q$7,  $S$43*$C361+$T$43,
  $C361&lt;$Q$8, $S$44*$C361+$T$44,
  $C361&lt;$Q$9, $S$45*$C361+$T$45,
  $C361&lt;$Q$10, $S$46*$C361+$T$46,
  $C361&lt;$Q$11,  $S$47*$C361+$T$47,
  $C361&lt;$Q$12, $S$48*$C361+$T$48,
  $S$49*$C361+$T$49
)</f>
        <v>1.1000000000000001</v>
      </c>
      <c r="S361" cm="1">
        <f t="array" ref="S361">_xlfn.SWITCH(TRUE,
  $C361&lt;$Q$5,  $U$41*$C361+$V$41,
  $C361&lt;$Q$6,  $U$42*$C361+$V$42,
  $C361&lt;$Q$7,  $U$43*$C361+$V$43,
  $C361&lt;$Q$8, $U$44*$C361+$V$44,
  $C361&lt;$Q$9, $U$45*$C361+$V$45,
  $C361&lt;$Q$10, $U$46*$C361+$V$46,
  $C361&lt;$Q$11,  $U$47*$C361+$V$47,
  $C361&lt;$Q$12, $U$48*$C361+$V$48,
  $U$49*$C361+$V$49
)</f>
        <v>3.8</v>
      </c>
      <c r="AE361" cm="1">
        <f t="array" ref="AE361">_xlfn.SWITCH(TRUE,
  $C361&lt;$Q$5,  $U$61*$C361+$V$61,
  $C361&lt;$Q$6,  $U$62*$C361+$V$62,
  $C361&lt;$Q$7,  $U$63*$C361+$V$63,
  $C361&lt;$Q$8, $U$64*$C361+$V$64,
  $C361&lt;$Q$9, $U$65*$C361+$V$65,
  $C361&lt;$Q$10, $U$66*$C361+$V$66,
  $C361&lt;$Q$11,  $U$67*$C361+$V$67,
  $C361&lt;$Q$12, $U$68*$C361+$V$68,
  $U$69*$C361+$V$69
)</f>
        <v>4</v>
      </c>
    </row>
    <row r="362" spans="2:31">
      <c r="B362">
        <f>'主翼(型紙出力)'!B205</f>
        <v>0</v>
      </c>
      <c r="C362">
        <f>'主翼(型紙出力)'!C205</f>
        <v>0</v>
      </c>
      <c r="D362">
        <f>'主翼(型紙出力)'!E205</f>
        <v>0</v>
      </c>
      <c r="E362">
        <f>'主翼(重量推算)'!CE202</f>
        <v>0</v>
      </c>
      <c r="F362" cm="1">
        <f t="array" ref="F362">_xlfn.SWITCH(TRUE,
  $C362&lt;$Q$5,  $S$22*$C362+$T$22,
  $C362&lt;$Q$6,  $S$23*$C362+$T$23,
  $C362&lt;$Q$7,  $S$24*$C362+$T$24,
  $C362&lt;$Q$8, $S$25*$C362+$T$25,
  $C362&lt;$Q$9, $S$26*$C362+$T$26,
  $C362&lt;$Q$10, $S$27*$C362+$T$27,
  $C362&lt;$Q$11,  $S$28*$C362+$T$28,
  $C362&lt;$Q$12, $S$29*$C362+$T$29,
  $S$30*$C362+$T$30
)</f>
        <v>1.1000000000000001</v>
      </c>
      <c r="G362" cm="1">
        <f t="array" ref="G362">_xlfn.SWITCH(TRUE,
  $C362&lt;$Q$5,  $U$22*$C362+$V$22,
  $C362&lt;$Q$6,  $U$23*$C362+$V$23,
  $C362&lt;$Q$7,  $U$24*$C362+$V$24,
  $C362&lt;$Q$8, $U$25*$C362+$V$25,
  $C362&lt;$Q$9, $U$26*$C362+$V$26,
  $C362&lt;$Q$10, $U$27*$C362+$V$27,
  $C362&lt;$Q$11,  $U$28*$C362+$V$28,
  $C362&lt;$Q$12, $U$29*$C362+$V$29,
  $U$30*$C362+$V$30
)</f>
        <v>3.4</v>
      </c>
      <c r="H362" cm="1">
        <f t="array" ref="H362">_xlfn.LET(
  _xlpm.y,$C362,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2" cm="1">
        <f t="array" ref="I362">_xlfn.LET(
  _xlpm.y,$C362,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2" cm="1">
        <f t="array" ref="J362">_xlfn.LET(
  _xlpm.y,$C362,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2" cm="1">
        <f t="array" ref="K362">_xlfn.LET(
  _xlpm.y,$C362,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2" cm="1">
        <f t="array" ref="L362">_xlfn.LET(
  _xlpm.y,$C362,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2" cm="1">
        <f t="array" ref="M362">_xlfn.SWITCH(TRUE,
  $C362&lt;$Q$5,  $D$22,
  $C362&lt;$Q$6,  $D$23,
  $C362&lt;$Q$7,  $D$24,
  $C362&lt;$Q$8,  $D$25,
  $C362&lt;$Q$9,  $D$26,
  $C362&lt;$Q$10,  $D$27,
  $C362&lt;$Q$11,  $D$28,
  $C362&lt;$Q$12,  $D$29,
  $C362&lt;$Q$13,  $D$30,
  $C362&lt;100,  $D$31,
)</f>
        <v>0</v>
      </c>
      <c r="R362" s="244" cm="1">
        <f t="array" ref="R362">_xlfn.SWITCH(TRUE,
  $C362&lt;$Q$5,  $S$41*$C362+$T$41,
  $C362&lt;$Q$6,  $S$42*$C362+$T$42,
  $C362&lt;$Q$7,  $S$43*$C362+$T$43,
  $C362&lt;$Q$8, $S$44*$C362+$T$44,
  $C362&lt;$Q$9, $S$45*$C362+$T$45,
  $C362&lt;$Q$10, $S$46*$C362+$T$46,
  $C362&lt;$Q$11,  $S$47*$C362+$T$47,
  $C362&lt;$Q$12, $S$48*$C362+$T$48,
  $S$49*$C362+$T$49
)</f>
        <v>1.1000000000000001</v>
      </c>
      <c r="S362" cm="1">
        <f t="array" ref="S362">_xlfn.SWITCH(TRUE,
  $C362&lt;$Q$5,  $U$41*$C362+$V$41,
  $C362&lt;$Q$6,  $U$42*$C362+$V$42,
  $C362&lt;$Q$7,  $U$43*$C362+$V$43,
  $C362&lt;$Q$8, $U$44*$C362+$V$44,
  $C362&lt;$Q$9, $U$45*$C362+$V$45,
  $C362&lt;$Q$10, $U$46*$C362+$V$46,
  $C362&lt;$Q$11,  $U$47*$C362+$V$47,
  $C362&lt;$Q$12, $U$48*$C362+$V$48,
  $U$49*$C362+$V$49
)</f>
        <v>3.8</v>
      </c>
      <c r="AE362" cm="1">
        <f t="array" ref="AE362">_xlfn.SWITCH(TRUE,
  $C362&lt;$Q$5,  $U$61*$C362+$V$61,
  $C362&lt;$Q$6,  $U$62*$C362+$V$62,
  $C362&lt;$Q$7,  $U$63*$C362+$V$63,
  $C362&lt;$Q$8, $U$64*$C362+$V$64,
  $C362&lt;$Q$9, $U$65*$C362+$V$65,
  $C362&lt;$Q$10, $U$66*$C362+$V$66,
  $C362&lt;$Q$11,  $U$67*$C362+$V$67,
  $C362&lt;$Q$12, $U$68*$C362+$V$68,
  $U$69*$C362+$V$69
)</f>
        <v>4</v>
      </c>
    </row>
    <row r="363" spans="2:31">
      <c r="B363">
        <f>'主翼(型紙出力)'!B206</f>
        <v>0</v>
      </c>
      <c r="C363">
        <f>'主翼(型紙出力)'!C206</f>
        <v>0</v>
      </c>
      <c r="D363">
        <f>'主翼(型紙出力)'!E206</f>
        <v>0</v>
      </c>
      <c r="E363">
        <f>'主翼(重量推算)'!CE203</f>
        <v>0</v>
      </c>
      <c r="F363" cm="1">
        <f t="array" ref="F363">_xlfn.SWITCH(TRUE,
  $C363&lt;$Q$5,  $S$22*$C363+$T$22,
  $C363&lt;$Q$6,  $S$23*$C363+$T$23,
  $C363&lt;$Q$7,  $S$24*$C363+$T$24,
  $C363&lt;$Q$8, $S$25*$C363+$T$25,
  $C363&lt;$Q$9, $S$26*$C363+$T$26,
  $C363&lt;$Q$10, $S$27*$C363+$T$27,
  $C363&lt;$Q$11,  $S$28*$C363+$T$28,
  $C363&lt;$Q$12, $S$29*$C363+$T$29,
  $S$30*$C363+$T$30
)</f>
        <v>1.1000000000000001</v>
      </c>
      <c r="G363" cm="1">
        <f t="array" ref="G363">_xlfn.SWITCH(TRUE,
  $C363&lt;$Q$5,  $U$22*$C363+$V$22,
  $C363&lt;$Q$6,  $U$23*$C363+$V$23,
  $C363&lt;$Q$7,  $U$24*$C363+$V$24,
  $C363&lt;$Q$8, $U$25*$C363+$V$25,
  $C363&lt;$Q$9, $U$26*$C363+$V$26,
  $C363&lt;$Q$10, $U$27*$C363+$V$27,
  $C363&lt;$Q$11,  $U$28*$C363+$V$28,
  $C363&lt;$Q$12, $U$29*$C363+$V$29,
  $U$30*$C363+$V$30
)</f>
        <v>3.4</v>
      </c>
      <c r="H363" cm="1">
        <f t="array" ref="H363">_xlfn.LET(
  _xlpm.y,$C363,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3" cm="1">
        <f t="array" ref="I363">_xlfn.LET(
  _xlpm.y,$C363,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3" cm="1">
        <f t="array" ref="J363">_xlfn.LET(
  _xlpm.y,$C363,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3" cm="1">
        <f t="array" ref="K363">_xlfn.LET(
  _xlpm.y,$C363,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3" cm="1">
        <f t="array" ref="L363">_xlfn.LET(
  _xlpm.y,$C363,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3" cm="1">
        <f t="array" ref="M363">_xlfn.SWITCH(TRUE,
  $C363&lt;$Q$5,  $D$22,
  $C363&lt;$Q$6,  $D$23,
  $C363&lt;$Q$7,  $D$24,
  $C363&lt;$Q$8,  $D$25,
  $C363&lt;$Q$9,  $D$26,
  $C363&lt;$Q$10,  $D$27,
  $C363&lt;$Q$11,  $D$28,
  $C363&lt;$Q$12,  $D$29,
  $C363&lt;$Q$13,  $D$30,
  $C363&lt;100,  $D$31,
)</f>
        <v>0</v>
      </c>
      <c r="R363" s="244" cm="1">
        <f t="array" ref="R363">_xlfn.SWITCH(TRUE,
  $C363&lt;$Q$5,  $S$41*$C363+$T$41,
  $C363&lt;$Q$6,  $S$42*$C363+$T$42,
  $C363&lt;$Q$7,  $S$43*$C363+$T$43,
  $C363&lt;$Q$8, $S$44*$C363+$T$44,
  $C363&lt;$Q$9, $S$45*$C363+$T$45,
  $C363&lt;$Q$10, $S$46*$C363+$T$46,
  $C363&lt;$Q$11,  $S$47*$C363+$T$47,
  $C363&lt;$Q$12, $S$48*$C363+$T$48,
  $S$49*$C363+$T$49
)</f>
        <v>1.1000000000000001</v>
      </c>
      <c r="S363" cm="1">
        <f t="array" ref="S363">_xlfn.SWITCH(TRUE,
  $C363&lt;$Q$5,  $U$41*$C363+$V$41,
  $C363&lt;$Q$6,  $U$42*$C363+$V$42,
  $C363&lt;$Q$7,  $U$43*$C363+$V$43,
  $C363&lt;$Q$8, $U$44*$C363+$V$44,
  $C363&lt;$Q$9, $U$45*$C363+$V$45,
  $C363&lt;$Q$10, $U$46*$C363+$V$46,
  $C363&lt;$Q$11,  $U$47*$C363+$V$47,
  $C363&lt;$Q$12, $U$48*$C363+$V$48,
  $U$49*$C363+$V$49
)</f>
        <v>3.8</v>
      </c>
      <c r="AE363" cm="1">
        <f t="array" ref="AE363">_xlfn.SWITCH(TRUE,
  $C363&lt;$Q$5,  $U$61*$C363+$V$61,
  $C363&lt;$Q$6,  $U$62*$C363+$V$62,
  $C363&lt;$Q$7,  $U$63*$C363+$V$63,
  $C363&lt;$Q$8, $U$64*$C363+$V$64,
  $C363&lt;$Q$9, $U$65*$C363+$V$65,
  $C363&lt;$Q$10, $U$66*$C363+$V$66,
  $C363&lt;$Q$11,  $U$67*$C363+$V$67,
  $C363&lt;$Q$12, $U$68*$C363+$V$68,
  $U$69*$C363+$V$69
)</f>
        <v>4</v>
      </c>
    </row>
    <row r="364" spans="2:31">
      <c r="B364">
        <f>'主翼(型紙出力)'!B207</f>
        <v>0</v>
      </c>
      <c r="C364">
        <f>'主翼(型紙出力)'!C207</f>
        <v>0</v>
      </c>
      <c r="D364">
        <f>'主翼(型紙出力)'!E207</f>
        <v>0</v>
      </c>
      <c r="E364">
        <f>'主翼(重量推算)'!CE204</f>
        <v>0</v>
      </c>
      <c r="F364" cm="1">
        <f t="array" ref="F364">_xlfn.SWITCH(TRUE,
  $C364&lt;$Q$5,  $S$22*$C364+$T$22,
  $C364&lt;$Q$6,  $S$23*$C364+$T$23,
  $C364&lt;$Q$7,  $S$24*$C364+$T$24,
  $C364&lt;$Q$8, $S$25*$C364+$T$25,
  $C364&lt;$Q$9, $S$26*$C364+$T$26,
  $C364&lt;$Q$10, $S$27*$C364+$T$27,
  $C364&lt;$Q$11,  $S$28*$C364+$T$28,
  $C364&lt;$Q$12, $S$29*$C364+$T$29,
  $S$30*$C364+$T$30
)</f>
        <v>1.1000000000000001</v>
      </c>
      <c r="G364" cm="1">
        <f t="array" ref="G364">_xlfn.SWITCH(TRUE,
  $C364&lt;$Q$5,  $U$22*$C364+$V$22,
  $C364&lt;$Q$6,  $U$23*$C364+$V$23,
  $C364&lt;$Q$7,  $U$24*$C364+$V$24,
  $C364&lt;$Q$8, $U$25*$C364+$V$25,
  $C364&lt;$Q$9, $U$26*$C364+$V$26,
  $C364&lt;$Q$10, $U$27*$C364+$V$27,
  $C364&lt;$Q$11,  $U$28*$C364+$V$28,
  $C364&lt;$Q$12, $U$29*$C364+$V$29,
  $U$30*$C364+$V$30
)</f>
        <v>3.4</v>
      </c>
      <c r="H364" cm="1">
        <f t="array" ref="H364">_xlfn.LET(
  _xlpm.y,$C364,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4" cm="1">
        <f t="array" ref="I364">_xlfn.LET(
  _xlpm.y,$C364,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4" cm="1">
        <f t="array" ref="J364">_xlfn.LET(
  _xlpm.y,$C364,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4" cm="1">
        <f t="array" ref="K364">_xlfn.LET(
  _xlpm.y,$C364,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4" cm="1">
        <f t="array" ref="L364">_xlfn.LET(
  _xlpm.y,$C364,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4" cm="1">
        <f t="array" ref="M364">_xlfn.SWITCH(TRUE,
  $C364&lt;$Q$5,  $D$22,
  $C364&lt;$Q$6,  $D$23,
  $C364&lt;$Q$7,  $D$24,
  $C364&lt;$Q$8,  $D$25,
  $C364&lt;$Q$9,  $D$26,
  $C364&lt;$Q$10,  $D$27,
  $C364&lt;$Q$11,  $D$28,
  $C364&lt;$Q$12,  $D$29,
  $C364&lt;$Q$13,  $D$30,
  $C364&lt;100,  $D$31,
)</f>
        <v>0</v>
      </c>
      <c r="R364" s="244" cm="1">
        <f t="array" ref="R364">_xlfn.SWITCH(TRUE,
  $C364&lt;$Q$5,  $S$41*$C364+$T$41,
  $C364&lt;$Q$6,  $S$42*$C364+$T$42,
  $C364&lt;$Q$7,  $S$43*$C364+$T$43,
  $C364&lt;$Q$8, $S$44*$C364+$T$44,
  $C364&lt;$Q$9, $S$45*$C364+$T$45,
  $C364&lt;$Q$10, $S$46*$C364+$T$46,
  $C364&lt;$Q$11,  $S$47*$C364+$T$47,
  $C364&lt;$Q$12, $S$48*$C364+$T$48,
  $S$49*$C364+$T$49
)</f>
        <v>1.1000000000000001</v>
      </c>
      <c r="S364" cm="1">
        <f t="array" ref="S364">_xlfn.SWITCH(TRUE,
  $C364&lt;$Q$5,  $U$41*$C364+$V$41,
  $C364&lt;$Q$6,  $U$42*$C364+$V$42,
  $C364&lt;$Q$7,  $U$43*$C364+$V$43,
  $C364&lt;$Q$8, $U$44*$C364+$V$44,
  $C364&lt;$Q$9, $U$45*$C364+$V$45,
  $C364&lt;$Q$10, $U$46*$C364+$V$46,
  $C364&lt;$Q$11,  $U$47*$C364+$V$47,
  $C364&lt;$Q$12, $U$48*$C364+$V$48,
  $U$49*$C364+$V$49
)</f>
        <v>3.8</v>
      </c>
      <c r="AE364" cm="1">
        <f t="array" ref="AE364">_xlfn.SWITCH(TRUE,
  $C364&lt;$Q$5,  $U$61*$C364+$V$61,
  $C364&lt;$Q$6,  $U$62*$C364+$V$62,
  $C364&lt;$Q$7,  $U$63*$C364+$V$63,
  $C364&lt;$Q$8, $U$64*$C364+$V$64,
  $C364&lt;$Q$9, $U$65*$C364+$V$65,
  $C364&lt;$Q$10, $U$66*$C364+$V$66,
  $C364&lt;$Q$11,  $U$67*$C364+$V$67,
  $C364&lt;$Q$12, $U$68*$C364+$V$68,
  $U$69*$C364+$V$69
)</f>
        <v>4</v>
      </c>
    </row>
    <row r="365" spans="2:31">
      <c r="B365">
        <f>'主翼(型紙出力)'!B208</f>
        <v>0</v>
      </c>
      <c r="C365">
        <f>'主翼(型紙出力)'!C208</f>
        <v>0</v>
      </c>
      <c r="D365">
        <f>'主翼(型紙出力)'!E208</f>
        <v>0</v>
      </c>
      <c r="E365">
        <f>'主翼(重量推算)'!CE205</f>
        <v>0</v>
      </c>
      <c r="F365" cm="1">
        <f t="array" ref="F365">_xlfn.SWITCH(TRUE,
  $C365&lt;$Q$5,  $S$22*$C365+$T$22,
  $C365&lt;$Q$6,  $S$23*$C365+$T$23,
  $C365&lt;$Q$7,  $S$24*$C365+$T$24,
  $C365&lt;$Q$8, $S$25*$C365+$T$25,
  $C365&lt;$Q$9, $S$26*$C365+$T$26,
  $C365&lt;$Q$10, $S$27*$C365+$T$27,
  $C365&lt;$Q$11,  $S$28*$C365+$T$28,
  $C365&lt;$Q$12, $S$29*$C365+$T$29,
  $S$30*$C365+$T$30
)</f>
        <v>1.1000000000000001</v>
      </c>
      <c r="G365" cm="1">
        <f t="array" ref="G365">_xlfn.SWITCH(TRUE,
  $C365&lt;$Q$5,  $U$22*$C365+$V$22,
  $C365&lt;$Q$6,  $U$23*$C365+$V$23,
  $C365&lt;$Q$7,  $U$24*$C365+$V$24,
  $C365&lt;$Q$8, $U$25*$C365+$V$25,
  $C365&lt;$Q$9, $U$26*$C365+$V$26,
  $C365&lt;$Q$10, $U$27*$C365+$V$27,
  $C365&lt;$Q$11,  $U$28*$C365+$V$28,
  $C365&lt;$Q$12, $U$29*$C365+$V$29,
  $U$30*$C365+$V$30
)</f>
        <v>3.4</v>
      </c>
      <c r="H365" cm="1">
        <f t="array" ref="H365">_xlfn.LET(
  _xlpm.y,$C365,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5" cm="1">
        <f t="array" ref="I365">_xlfn.LET(
  _xlpm.y,$C365,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5" cm="1">
        <f t="array" ref="J365">_xlfn.LET(
  _xlpm.y,$C365,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5" cm="1">
        <f t="array" ref="K365">_xlfn.LET(
  _xlpm.y,$C365,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5" cm="1">
        <f t="array" ref="L365">_xlfn.LET(
  _xlpm.y,$C365,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5" cm="1">
        <f t="array" ref="M365">_xlfn.SWITCH(TRUE,
  $C365&lt;$Q$5,  $D$22,
  $C365&lt;$Q$6,  $D$23,
  $C365&lt;$Q$7,  $D$24,
  $C365&lt;$Q$8,  $D$25,
  $C365&lt;$Q$9,  $D$26,
  $C365&lt;$Q$10,  $D$27,
  $C365&lt;$Q$11,  $D$28,
  $C365&lt;$Q$12,  $D$29,
  $C365&lt;$Q$13,  $D$30,
  $C365&lt;100,  $D$31,
)</f>
        <v>0</v>
      </c>
      <c r="R365" s="244" cm="1">
        <f t="array" ref="R365">_xlfn.SWITCH(TRUE,
  $C365&lt;$Q$5,  $S$41*$C365+$T$41,
  $C365&lt;$Q$6,  $S$42*$C365+$T$42,
  $C365&lt;$Q$7,  $S$43*$C365+$T$43,
  $C365&lt;$Q$8, $S$44*$C365+$T$44,
  $C365&lt;$Q$9, $S$45*$C365+$T$45,
  $C365&lt;$Q$10, $S$46*$C365+$T$46,
  $C365&lt;$Q$11,  $S$47*$C365+$T$47,
  $C365&lt;$Q$12, $S$48*$C365+$T$48,
  $S$49*$C365+$T$49
)</f>
        <v>1.1000000000000001</v>
      </c>
      <c r="S365" cm="1">
        <f t="array" ref="S365">_xlfn.SWITCH(TRUE,
  $C365&lt;$Q$5,  $U$41*$C365+$V$41,
  $C365&lt;$Q$6,  $U$42*$C365+$V$42,
  $C365&lt;$Q$7,  $U$43*$C365+$V$43,
  $C365&lt;$Q$8, $U$44*$C365+$V$44,
  $C365&lt;$Q$9, $U$45*$C365+$V$45,
  $C365&lt;$Q$10, $U$46*$C365+$V$46,
  $C365&lt;$Q$11,  $U$47*$C365+$V$47,
  $C365&lt;$Q$12, $U$48*$C365+$V$48,
  $U$49*$C365+$V$49
)</f>
        <v>3.8</v>
      </c>
      <c r="AE365" cm="1">
        <f t="array" ref="AE365">_xlfn.SWITCH(TRUE,
  $C365&lt;$Q$5,  $U$61*$C365+$V$61,
  $C365&lt;$Q$6,  $U$62*$C365+$V$62,
  $C365&lt;$Q$7,  $U$63*$C365+$V$63,
  $C365&lt;$Q$8, $U$64*$C365+$V$64,
  $C365&lt;$Q$9, $U$65*$C365+$V$65,
  $C365&lt;$Q$10, $U$66*$C365+$V$66,
  $C365&lt;$Q$11,  $U$67*$C365+$V$67,
  $C365&lt;$Q$12, $U$68*$C365+$V$68,
  $U$69*$C365+$V$69
)</f>
        <v>4</v>
      </c>
    </row>
    <row r="366" spans="2:31">
      <c r="B366">
        <f>'主翼(型紙出力)'!B209</f>
        <v>0</v>
      </c>
      <c r="C366">
        <f>'主翼(型紙出力)'!C209</f>
        <v>0</v>
      </c>
      <c r="D366">
        <f>'主翼(型紙出力)'!E209</f>
        <v>0</v>
      </c>
      <c r="E366">
        <f>'主翼(重量推算)'!CE206</f>
        <v>0</v>
      </c>
      <c r="F366" cm="1">
        <f t="array" ref="F366">_xlfn.SWITCH(TRUE,
  $C366&lt;$Q$5,  $S$22*$C366+$T$22,
  $C366&lt;$Q$6,  $S$23*$C366+$T$23,
  $C366&lt;$Q$7,  $S$24*$C366+$T$24,
  $C366&lt;$Q$8, $S$25*$C366+$T$25,
  $C366&lt;$Q$9, $S$26*$C366+$T$26,
  $C366&lt;$Q$10, $S$27*$C366+$T$27,
  $C366&lt;$Q$11,  $S$28*$C366+$T$28,
  $C366&lt;$Q$12, $S$29*$C366+$T$29,
  $S$30*$C366+$T$30
)</f>
        <v>1.1000000000000001</v>
      </c>
      <c r="G366" cm="1">
        <f t="array" ref="G366">_xlfn.SWITCH(TRUE,
  $C366&lt;$Q$5,  $U$22*$C366+$V$22,
  $C366&lt;$Q$6,  $U$23*$C366+$V$23,
  $C366&lt;$Q$7,  $U$24*$C366+$V$24,
  $C366&lt;$Q$8, $U$25*$C366+$V$25,
  $C366&lt;$Q$9, $U$26*$C366+$V$26,
  $C366&lt;$Q$10, $U$27*$C366+$V$27,
  $C366&lt;$Q$11,  $U$28*$C366+$V$28,
  $C366&lt;$Q$12, $U$29*$C366+$V$29,
  $U$30*$C366+$V$30
)</f>
        <v>3.4</v>
      </c>
      <c r="H366" cm="1">
        <f t="array" ref="H366">_xlfn.LET(
  _xlpm.y,$C366,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6" cm="1">
        <f t="array" ref="I366">_xlfn.LET(
  _xlpm.y,$C366,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6" cm="1">
        <f t="array" ref="J366">_xlfn.LET(
  _xlpm.y,$C366,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6" cm="1">
        <f t="array" ref="K366">_xlfn.LET(
  _xlpm.y,$C366,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6" cm="1">
        <f t="array" ref="L366">_xlfn.LET(
  _xlpm.y,$C366,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6" cm="1">
        <f t="array" ref="M366">_xlfn.SWITCH(TRUE,
  $C366&lt;$Q$5,  $D$22,
  $C366&lt;$Q$6,  $D$23,
  $C366&lt;$Q$7,  $D$24,
  $C366&lt;$Q$8,  $D$25,
  $C366&lt;$Q$9,  $D$26,
  $C366&lt;$Q$10,  $D$27,
  $C366&lt;$Q$11,  $D$28,
  $C366&lt;$Q$12,  $D$29,
  $C366&lt;$Q$13,  $D$30,
  $C366&lt;100,  $D$31,
)</f>
        <v>0</v>
      </c>
      <c r="R366" s="244" cm="1">
        <f t="array" ref="R366">_xlfn.SWITCH(TRUE,
  $C366&lt;$Q$5,  $S$41*$C366+$T$41,
  $C366&lt;$Q$6,  $S$42*$C366+$T$42,
  $C366&lt;$Q$7,  $S$43*$C366+$T$43,
  $C366&lt;$Q$8, $S$44*$C366+$T$44,
  $C366&lt;$Q$9, $S$45*$C366+$T$45,
  $C366&lt;$Q$10, $S$46*$C366+$T$46,
  $C366&lt;$Q$11,  $S$47*$C366+$T$47,
  $C366&lt;$Q$12, $S$48*$C366+$T$48,
  $S$49*$C366+$T$49
)</f>
        <v>1.1000000000000001</v>
      </c>
      <c r="S366" cm="1">
        <f t="array" ref="S366">_xlfn.SWITCH(TRUE,
  $C366&lt;$Q$5,  $U$41*$C366+$V$41,
  $C366&lt;$Q$6,  $U$42*$C366+$V$42,
  $C366&lt;$Q$7,  $U$43*$C366+$V$43,
  $C366&lt;$Q$8, $U$44*$C366+$V$44,
  $C366&lt;$Q$9, $U$45*$C366+$V$45,
  $C366&lt;$Q$10, $U$46*$C366+$V$46,
  $C366&lt;$Q$11,  $U$47*$C366+$V$47,
  $C366&lt;$Q$12, $U$48*$C366+$V$48,
  $U$49*$C366+$V$49
)</f>
        <v>3.8</v>
      </c>
      <c r="AE366" cm="1">
        <f t="array" ref="AE366">_xlfn.SWITCH(TRUE,
  $C366&lt;$Q$5,  $U$61*$C366+$V$61,
  $C366&lt;$Q$6,  $U$62*$C366+$V$62,
  $C366&lt;$Q$7,  $U$63*$C366+$V$63,
  $C366&lt;$Q$8, $U$64*$C366+$V$64,
  $C366&lt;$Q$9, $U$65*$C366+$V$65,
  $C366&lt;$Q$10, $U$66*$C366+$V$66,
  $C366&lt;$Q$11,  $U$67*$C366+$V$67,
  $C366&lt;$Q$12, $U$68*$C366+$V$68,
  $U$69*$C366+$V$69
)</f>
        <v>4</v>
      </c>
    </row>
    <row r="367" spans="2:31">
      <c r="B367">
        <f>'主翼(型紙出力)'!B210</f>
        <v>0</v>
      </c>
      <c r="C367">
        <f>'主翼(型紙出力)'!C210</f>
        <v>0</v>
      </c>
      <c r="D367">
        <f>'主翼(型紙出力)'!E210</f>
        <v>0</v>
      </c>
      <c r="E367">
        <f>'主翼(重量推算)'!CE207</f>
        <v>0</v>
      </c>
      <c r="F367" cm="1">
        <f t="array" ref="F367">_xlfn.SWITCH(TRUE,
  $C367&lt;$Q$5,  $S$22*$C367+$T$22,
  $C367&lt;$Q$6,  $S$23*$C367+$T$23,
  $C367&lt;$Q$7,  $S$24*$C367+$T$24,
  $C367&lt;$Q$8, $S$25*$C367+$T$25,
  $C367&lt;$Q$9, $S$26*$C367+$T$26,
  $C367&lt;$Q$10, $S$27*$C367+$T$27,
  $C367&lt;$Q$11,  $S$28*$C367+$T$28,
  $C367&lt;$Q$12, $S$29*$C367+$T$29,
  $S$30*$C367+$T$30
)</f>
        <v>1.1000000000000001</v>
      </c>
      <c r="G367" cm="1">
        <f t="array" ref="G367">_xlfn.SWITCH(TRUE,
  $C367&lt;$Q$5,  $U$22*$C367+$V$22,
  $C367&lt;$Q$6,  $U$23*$C367+$V$23,
  $C367&lt;$Q$7,  $U$24*$C367+$V$24,
  $C367&lt;$Q$8, $U$25*$C367+$V$25,
  $C367&lt;$Q$9, $U$26*$C367+$V$26,
  $C367&lt;$Q$10, $U$27*$C367+$V$27,
  $C367&lt;$Q$11,  $U$28*$C367+$V$28,
  $C367&lt;$Q$12, $U$29*$C367+$V$29,
  $U$30*$C367+$V$30
)</f>
        <v>3.4</v>
      </c>
      <c r="H367" cm="1">
        <f t="array" ref="H367">_xlfn.LET(
  _xlpm.y,$C367,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7" cm="1">
        <f t="array" ref="I367">_xlfn.LET(
  _xlpm.y,$C367,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7" cm="1">
        <f t="array" ref="J367">_xlfn.LET(
  _xlpm.y,$C367,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7" cm="1">
        <f t="array" ref="K367">_xlfn.LET(
  _xlpm.y,$C367,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7" cm="1">
        <f t="array" ref="L367">_xlfn.LET(
  _xlpm.y,$C367,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7" cm="1">
        <f t="array" ref="M367">_xlfn.SWITCH(TRUE,
  $C367&lt;$Q$5,  $D$22,
  $C367&lt;$Q$6,  $D$23,
  $C367&lt;$Q$7,  $D$24,
  $C367&lt;$Q$8,  $D$25,
  $C367&lt;$Q$9,  $D$26,
  $C367&lt;$Q$10,  $D$27,
  $C367&lt;$Q$11,  $D$28,
  $C367&lt;$Q$12,  $D$29,
  $C367&lt;$Q$13,  $D$30,
  $C367&lt;100,  $D$31,
)</f>
        <v>0</v>
      </c>
      <c r="R367" s="244" cm="1">
        <f t="array" ref="R367">_xlfn.SWITCH(TRUE,
  $C367&lt;$Q$5,  $S$41*$C367+$T$41,
  $C367&lt;$Q$6,  $S$42*$C367+$T$42,
  $C367&lt;$Q$7,  $S$43*$C367+$T$43,
  $C367&lt;$Q$8, $S$44*$C367+$T$44,
  $C367&lt;$Q$9, $S$45*$C367+$T$45,
  $C367&lt;$Q$10, $S$46*$C367+$T$46,
  $C367&lt;$Q$11,  $S$47*$C367+$T$47,
  $C367&lt;$Q$12, $S$48*$C367+$T$48,
  $S$49*$C367+$T$49
)</f>
        <v>1.1000000000000001</v>
      </c>
      <c r="S367" cm="1">
        <f t="array" ref="S367">_xlfn.SWITCH(TRUE,
  $C367&lt;$Q$5,  $U$41*$C367+$V$41,
  $C367&lt;$Q$6,  $U$42*$C367+$V$42,
  $C367&lt;$Q$7,  $U$43*$C367+$V$43,
  $C367&lt;$Q$8, $U$44*$C367+$V$44,
  $C367&lt;$Q$9, $U$45*$C367+$V$45,
  $C367&lt;$Q$10, $U$46*$C367+$V$46,
  $C367&lt;$Q$11,  $U$47*$C367+$V$47,
  $C367&lt;$Q$12, $U$48*$C367+$V$48,
  $U$49*$C367+$V$49
)</f>
        <v>3.8</v>
      </c>
      <c r="AE367" cm="1">
        <f t="array" ref="AE367">_xlfn.SWITCH(TRUE,
  $C367&lt;$Q$5,  $U$61*$C367+$V$61,
  $C367&lt;$Q$6,  $U$62*$C367+$V$62,
  $C367&lt;$Q$7,  $U$63*$C367+$V$63,
  $C367&lt;$Q$8, $U$64*$C367+$V$64,
  $C367&lt;$Q$9, $U$65*$C367+$V$65,
  $C367&lt;$Q$10, $U$66*$C367+$V$66,
  $C367&lt;$Q$11,  $U$67*$C367+$V$67,
  $C367&lt;$Q$12, $U$68*$C367+$V$68,
  $U$69*$C367+$V$69
)</f>
        <v>4</v>
      </c>
    </row>
    <row r="368" spans="2:31">
      <c r="B368">
        <f>'主翼(型紙出力)'!B211</f>
        <v>0</v>
      </c>
      <c r="C368">
        <f>'主翼(型紙出力)'!C211</f>
        <v>0</v>
      </c>
      <c r="D368">
        <f>'主翼(型紙出力)'!E211</f>
        <v>0</v>
      </c>
      <c r="E368">
        <f>'主翼(重量推算)'!CE208</f>
        <v>0</v>
      </c>
      <c r="F368" cm="1">
        <f t="array" ref="F368">_xlfn.SWITCH(TRUE,
  $C368&lt;$Q$5,  $S$22*$C368+$T$22,
  $C368&lt;$Q$6,  $S$23*$C368+$T$23,
  $C368&lt;$Q$7,  $S$24*$C368+$T$24,
  $C368&lt;$Q$8, $S$25*$C368+$T$25,
  $C368&lt;$Q$9, $S$26*$C368+$T$26,
  $C368&lt;$Q$10, $S$27*$C368+$T$27,
  $C368&lt;$Q$11,  $S$28*$C368+$T$28,
  $C368&lt;$Q$12, $S$29*$C368+$T$29,
  $S$30*$C368+$T$30
)</f>
        <v>1.1000000000000001</v>
      </c>
      <c r="G368" cm="1">
        <f t="array" ref="G368">_xlfn.SWITCH(TRUE,
  $C368&lt;$Q$5,  $U$22*$C368+$V$22,
  $C368&lt;$Q$6,  $U$23*$C368+$V$23,
  $C368&lt;$Q$7,  $U$24*$C368+$V$24,
  $C368&lt;$Q$8, $U$25*$C368+$V$25,
  $C368&lt;$Q$9, $U$26*$C368+$V$26,
  $C368&lt;$Q$10, $U$27*$C368+$V$27,
  $C368&lt;$Q$11,  $U$28*$C368+$V$28,
  $C368&lt;$Q$12, $U$29*$C368+$V$29,
  $U$30*$C368+$V$30
)</f>
        <v>3.4</v>
      </c>
      <c r="H368" cm="1">
        <f t="array" ref="H368">_xlfn.LET(
  _xlpm.y,$C368,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8" cm="1">
        <f t="array" ref="I368">_xlfn.LET(
  _xlpm.y,$C368,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8" cm="1">
        <f t="array" ref="J368">_xlfn.LET(
  _xlpm.y,$C368,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8" cm="1">
        <f t="array" ref="K368">_xlfn.LET(
  _xlpm.y,$C368,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8" cm="1">
        <f t="array" ref="L368">_xlfn.LET(
  _xlpm.y,$C368,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8" cm="1">
        <f t="array" ref="M368">_xlfn.SWITCH(TRUE,
  $C368&lt;$Q$5,  $D$22,
  $C368&lt;$Q$6,  $D$23,
  $C368&lt;$Q$7,  $D$24,
  $C368&lt;$Q$8,  $D$25,
  $C368&lt;$Q$9,  $D$26,
  $C368&lt;$Q$10,  $D$27,
  $C368&lt;$Q$11,  $D$28,
  $C368&lt;$Q$12,  $D$29,
  $C368&lt;$Q$13,  $D$30,
  $C368&lt;100,  $D$31,
)</f>
        <v>0</v>
      </c>
      <c r="R368" s="244" cm="1">
        <f t="array" ref="R368">_xlfn.SWITCH(TRUE,
  $C368&lt;$Q$5,  $S$41*$C368+$T$41,
  $C368&lt;$Q$6,  $S$42*$C368+$T$42,
  $C368&lt;$Q$7,  $S$43*$C368+$T$43,
  $C368&lt;$Q$8, $S$44*$C368+$T$44,
  $C368&lt;$Q$9, $S$45*$C368+$T$45,
  $C368&lt;$Q$10, $S$46*$C368+$T$46,
  $C368&lt;$Q$11,  $S$47*$C368+$T$47,
  $C368&lt;$Q$12, $S$48*$C368+$T$48,
  $S$49*$C368+$T$49
)</f>
        <v>1.1000000000000001</v>
      </c>
      <c r="S368" cm="1">
        <f t="array" ref="S368">_xlfn.SWITCH(TRUE,
  $C368&lt;$Q$5,  $U$41*$C368+$V$41,
  $C368&lt;$Q$6,  $U$42*$C368+$V$42,
  $C368&lt;$Q$7,  $U$43*$C368+$V$43,
  $C368&lt;$Q$8, $U$44*$C368+$V$44,
  $C368&lt;$Q$9, $U$45*$C368+$V$45,
  $C368&lt;$Q$10, $U$46*$C368+$V$46,
  $C368&lt;$Q$11,  $U$47*$C368+$V$47,
  $C368&lt;$Q$12, $U$48*$C368+$V$48,
  $U$49*$C368+$V$49
)</f>
        <v>3.8</v>
      </c>
      <c r="AE368" cm="1">
        <f t="array" ref="AE368">_xlfn.SWITCH(TRUE,
  $C368&lt;$Q$5,  $U$61*$C368+$V$61,
  $C368&lt;$Q$6,  $U$62*$C368+$V$62,
  $C368&lt;$Q$7,  $U$63*$C368+$V$63,
  $C368&lt;$Q$8, $U$64*$C368+$V$64,
  $C368&lt;$Q$9, $U$65*$C368+$V$65,
  $C368&lt;$Q$10, $U$66*$C368+$V$66,
  $C368&lt;$Q$11,  $U$67*$C368+$V$67,
  $C368&lt;$Q$12, $U$68*$C368+$V$68,
  $U$69*$C368+$V$69
)</f>
        <v>4</v>
      </c>
    </row>
    <row r="369" spans="2:31">
      <c r="B369">
        <f>'主翼(型紙出力)'!B212</f>
        <v>0</v>
      </c>
      <c r="C369">
        <f>'主翼(型紙出力)'!C212</f>
        <v>0</v>
      </c>
      <c r="D369">
        <f>'主翼(型紙出力)'!E212</f>
        <v>0</v>
      </c>
      <c r="E369">
        <f>'主翼(重量推算)'!CE209</f>
        <v>0</v>
      </c>
      <c r="F369" cm="1">
        <f t="array" ref="F369">_xlfn.SWITCH(TRUE,
  $C369&lt;$Q$5,  $S$22*$C369+$T$22,
  $C369&lt;$Q$6,  $S$23*$C369+$T$23,
  $C369&lt;$Q$7,  $S$24*$C369+$T$24,
  $C369&lt;$Q$8, $S$25*$C369+$T$25,
  $C369&lt;$Q$9, $S$26*$C369+$T$26,
  $C369&lt;$Q$10, $S$27*$C369+$T$27,
  $C369&lt;$Q$11,  $S$28*$C369+$T$28,
  $C369&lt;$Q$12, $S$29*$C369+$T$29,
  $S$30*$C369+$T$30
)</f>
        <v>1.1000000000000001</v>
      </c>
      <c r="G369" cm="1">
        <f t="array" ref="G369">_xlfn.SWITCH(TRUE,
  $C369&lt;$Q$5,  $U$22*$C369+$V$22,
  $C369&lt;$Q$6,  $U$23*$C369+$V$23,
  $C369&lt;$Q$7,  $U$24*$C369+$V$24,
  $C369&lt;$Q$8, $U$25*$C369+$V$25,
  $C369&lt;$Q$9, $U$26*$C369+$V$26,
  $C369&lt;$Q$10, $U$27*$C369+$V$27,
  $C369&lt;$Q$11,  $U$28*$C369+$V$28,
  $C369&lt;$Q$12, $U$29*$C369+$V$29,
  $U$30*$C369+$V$30
)</f>
        <v>3.4</v>
      </c>
      <c r="H369" cm="1">
        <f t="array" ref="H369">_xlfn.LET(
  _xlpm.y,$C369,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9" cm="1">
        <f t="array" ref="I369">_xlfn.LET(
  _xlpm.y,$C369,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9" cm="1">
        <f t="array" ref="J369">_xlfn.LET(
  _xlpm.y,$C369,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9" cm="1">
        <f t="array" ref="K369">_xlfn.LET(
  _xlpm.y,$C369,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9" cm="1">
        <f t="array" ref="L369">_xlfn.LET(
  _xlpm.y,$C369,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9" cm="1">
        <f t="array" ref="M369">_xlfn.SWITCH(TRUE,
  $C369&lt;$Q$5,  $D$22,
  $C369&lt;$Q$6,  $D$23,
  $C369&lt;$Q$7,  $D$24,
  $C369&lt;$Q$8,  $D$25,
  $C369&lt;$Q$9,  $D$26,
  $C369&lt;$Q$10,  $D$27,
  $C369&lt;$Q$11,  $D$28,
  $C369&lt;$Q$12,  $D$29,
  $C369&lt;$Q$13,  $D$30,
  $C369&lt;100,  $D$31,
)</f>
        <v>0</v>
      </c>
      <c r="R369" s="244" cm="1">
        <f t="array" ref="R369">_xlfn.SWITCH(TRUE,
  $C369&lt;$Q$5,  $S$41*$C369+$T$41,
  $C369&lt;$Q$6,  $S$42*$C369+$T$42,
  $C369&lt;$Q$7,  $S$43*$C369+$T$43,
  $C369&lt;$Q$8, $S$44*$C369+$T$44,
  $C369&lt;$Q$9, $S$45*$C369+$T$45,
  $C369&lt;$Q$10, $S$46*$C369+$T$46,
  $C369&lt;$Q$11,  $S$47*$C369+$T$47,
  $C369&lt;$Q$12, $S$48*$C369+$T$48,
  $S$49*$C369+$T$49
)</f>
        <v>1.1000000000000001</v>
      </c>
      <c r="S369" cm="1">
        <f t="array" ref="S369">_xlfn.SWITCH(TRUE,
  $C369&lt;$Q$5,  $U$41*$C369+$V$41,
  $C369&lt;$Q$6,  $U$42*$C369+$V$42,
  $C369&lt;$Q$7,  $U$43*$C369+$V$43,
  $C369&lt;$Q$8, $U$44*$C369+$V$44,
  $C369&lt;$Q$9, $U$45*$C369+$V$45,
  $C369&lt;$Q$10, $U$46*$C369+$V$46,
  $C369&lt;$Q$11,  $U$47*$C369+$V$47,
  $C369&lt;$Q$12, $U$48*$C369+$V$48,
  $U$49*$C369+$V$49
)</f>
        <v>3.8</v>
      </c>
      <c r="AE369" cm="1">
        <f t="array" ref="AE369">_xlfn.SWITCH(TRUE,
  $C369&lt;$Q$5,  $U$61*$C369+$V$61,
  $C369&lt;$Q$6,  $U$62*$C369+$V$62,
  $C369&lt;$Q$7,  $U$63*$C369+$V$63,
  $C369&lt;$Q$8, $U$64*$C369+$V$64,
  $C369&lt;$Q$9, $U$65*$C369+$V$65,
  $C369&lt;$Q$10, $U$66*$C369+$V$66,
  $C369&lt;$Q$11,  $U$67*$C369+$V$67,
  $C369&lt;$Q$12, $U$68*$C369+$V$68,
  $U$69*$C369+$V$69
)</f>
        <v>4</v>
      </c>
    </row>
    <row r="370" spans="2:31">
      <c r="B370">
        <f>'主翼(型紙出力)'!B213</f>
        <v>0</v>
      </c>
      <c r="C370">
        <f>'主翼(型紙出力)'!C213</f>
        <v>0</v>
      </c>
      <c r="D370">
        <f>'主翼(型紙出力)'!E213</f>
        <v>0</v>
      </c>
      <c r="E370">
        <f>'主翼(重量推算)'!CE210</f>
        <v>0</v>
      </c>
      <c r="F370" cm="1">
        <f t="array" ref="F370">_xlfn.SWITCH(TRUE,
  $C370&lt;$Q$5,  $S$22*$C370+$T$22,
  $C370&lt;$Q$6,  $S$23*$C370+$T$23,
  $C370&lt;$Q$7,  $S$24*$C370+$T$24,
  $C370&lt;$Q$8, $S$25*$C370+$T$25,
  $C370&lt;$Q$9, $S$26*$C370+$T$26,
  $C370&lt;$Q$10, $S$27*$C370+$T$27,
  $C370&lt;$Q$11,  $S$28*$C370+$T$28,
  $C370&lt;$Q$12, $S$29*$C370+$T$29,
  $S$30*$C370+$T$30
)</f>
        <v>1.1000000000000001</v>
      </c>
      <c r="G370" cm="1">
        <f t="array" ref="G370">_xlfn.SWITCH(TRUE,
  $C370&lt;$Q$5,  $U$22*$C370+$V$22,
  $C370&lt;$Q$6,  $U$23*$C370+$V$23,
  $C370&lt;$Q$7,  $U$24*$C370+$V$24,
  $C370&lt;$Q$8, $U$25*$C370+$V$25,
  $C370&lt;$Q$9, $U$26*$C370+$V$26,
  $C370&lt;$Q$10, $U$27*$C370+$V$27,
  $C370&lt;$Q$11,  $U$28*$C370+$V$28,
  $C370&lt;$Q$12, $U$29*$C370+$V$29,
  $U$30*$C370+$V$30
)</f>
        <v>3.4</v>
      </c>
      <c r="H370" cm="1">
        <f t="array" ref="H370">_xlfn.LET(
  _xlpm.y,$C370,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0" cm="1">
        <f t="array" ref="I370">_xlfn.LET(
  _xlpm.y,$C370,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0" cm="1">
        <f t="array" ref="J370">_xlfn.LET(
  _xlpm.y,$C370,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0" cm="1">
        <f t="array" ref="K370">_xlfn.LET(
  _xlpm.y,$C370,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0" cm="1">
        <f t="array" ref="L370">_xlfn.LET(
  _xlpm.y,$C370,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0" cm="1">
        <f t="array" ref="M370">_xlfn.SWITCH(TRUE,
  $C370&lt;$Q$5,  $D$22,
  $C370&lt;$Q$6,  $D$23,
  $C370&lt;$Q$7,  $D$24,
  $C370&lt;$Q$8,  $D$25,
  $C370&lt;$Q$9,  $D$26,
  $C370&lt;$Q$10,  $D$27,
  $C370&lt;$Q$11,  $D$28,
  $C370&lt;$Q$12,  $D$29,
  $C370&lt;$Q$13,  $D$30,
  $C370&lt;100,  $D$31,
)</f>
        <v>0</v>
      </c>
      <c r="R370" s="244" cm="1">
        <f t="array" ref="R370">_xlfn.SWITCH(TRUE,
  $C370&lt;$Q$5,  $S$41*$C370+$T$41,
  $C370&lt;$Q$6,  $S$42*$C370+$T$42,
  $C370&lt;$Q$7,  $S$43*$C370+$T$43,
  $C370&lt;$Q$8, $S$44*$C370+$T$44,
  $C370&lt;$Q$9, $S$45*$C370+$T$45,
  $C370&lt;$Q$10, $S$46*$C370+$T$46,
  $C370&lt;$Q$11,  $S$47*$C370+$T$47,
  $C370&lt;$Q$12, $S$48*$C370+$T$48,
  $S$49*$C370+$T$49
)</f>
        <v>1.1000000000000001</v>
      </c>
      <c r="S370" cm="1">
        <f t="array" ref="S370">_xlfn.SWITCH(TRUE,
  $C370&lt;$Q$5,  $U$41*$C370+$V$41,
  $C370&lt;$Q$6,  $U$42*$C370+$V$42,
  $C370&lt;$Q$7,  $U$43*$C370+$V$43,
  $C370&lt;$Q$8, $U$44*$C370+$V$44,
  $C370&lt;$Q$9, $U$45*$C370+$V$45,
  $C370&lt;$Q$10, $U$46*$C370+$V$46,
  $C370&lt;$Q$11,  $U$47*$C370+$V$47,
  $C370&lt;$Q$12, $U$48*$C370+$V$48,
  $U$49*$C370+$V$49
)</f>
        <v>3.8</v>
      </c>
      <c r="AE370" cm="1">
        <f t="array" ref="AE370">_xlfn.SWITCH(TRUE,
  $C370&lt;$Q$5,  $U$61*$C370+$V$61,
  $C370&lt;$Q$6,  $U$62*$C370+$V$62,
  $C370&lt;$Q$7,  $U$63*$C370+$V$63,
  $C370&lt;$Q$8, $U$64*$C370+$V$64,
  $C370&lt;$Q$9, $U$65*$C370+$V$65,
  $C370&lt;$Q$10, $U$66*$C370+$V$66,
  $C370&lt;$Q$11,  $U$67*$C370+$V$67,
  $C370&lt;$Q$12, $U$68*$C370+$V$68,
  $U$69*$C370+$V$69
)</f>
        <v>4</v>
      </c>
    </row>
    <row r="371" spans="2:31">
      <c r="B371">
        <f>'主翼(型紙出力)'!B214</f>
        <v>0</v>
      </c>
      <c r="C371">
        <f>'主翼(型紙出力)'!C214</f>
        <v>0</v>
      </c>
      <c r="D371">
        <f>'主翼(型紙出力)'!E214</f>
        <v>0</v>
      </c>
      <c r="E371">
        <f>'主翼(重量推算)'!CE211</f>
        <v>0</v>
      </c>
      <c r="F371" cm="1">
        <f t="array" ref="F371">_xlfn.SWITCH(TRUE,
  $C371&lt;$Q$5,  $S$22*$C371+$T$22,
  $C371&lt;$Q$6,  $S$23*$C371+$T$23,
  $C371&lt;$Q$7,  $S$24*$C371+$T$24,
  $C371&lt;$Q$8, $S$25*$C371+$T$25,
  $C371&lt;$Q$9, $S$26*$C371+$T$26,
  $C371&lt;$Q$10, $S$27*$C371+$T$27,
  $C371&lt;$Q$11,  $S$28*$C371+$T$28,
  $C371&lt;$Q$12, $S$29*$C371+$T$29,
  $S$30*$C371+$T$30
)</f>
        <v>1.1000000000000001</v>
      </c>
      <c r="G371" cm="1">
        <f t="array" ref="G371">_xlfn.SWITCH(TRUE,
  $C371&lt;$Q$5,  $U$22*$C371+$V$22,
  $C371&lt;$Q$6,  $U$23*$C371+$V$23,
  $C371&lt;$Q$7,  $U$24*$C371+$V$24,
  $C371&lt;$Q$8, $U$25*$C371+$V$25,
  $C371&lt;$Q$9, $U$26*$C371+$V$26,
  $C371&lt;$Q$10, $U$27*$C371+$V$27,
  $C371&lt;$Q$11,  $U$28*$C371+$V$28,
  $C371&lt;$Q$12, $U$29*$C371+$V$29,
  $U$30*$C371+$V$30
)</f>
        <v>3.4</v>
      </c>
      <c r="H371" cm="1">
        <f t="array" ref="H371">_xlfn.LET(
  _xlpm.y,$C371,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1" cm="1">
        <f t="array" ref="I371">_xlfn.LET(
  _xlpm.y,$C371,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1" cm="1">
        <f t="array" ref="J371">_xlfn.LET(
  _xlpm.y,$C371,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1" cm="1">
        <f t="array" ref="K371">_xlfn.LET(
  _xlpm.y,$C371,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1" cm="1">
        <f t="array" ref="L371">_xlfn.LET(
  _xlpm.y,$C371,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1" cm="1">
        <f t="array" ref="M371">_xlfn.SWITCH(TRUE,
  $C371&lt;$Q$5,  $D$22,
  $C371&lt;$Q$6,  $D$23,
  $C371&lt;$Q$7,  $D$24,
  $C371&lt;$Q$8,  $D$25,
  $C371&lt;$Q$9,  $D$26,
  $C371&lt;$Q$10,  $D$27,
  $C371&lt;$Q$11,  $D$28,
  $C371&lt;$Q$12,  $D$29,
  $C371&lt;$Q$13,  $D$30,
  $C371&lt;100,  $D$31,
)</f>
        <v>0</v>
      </c>
      <c r="R371" s="244" cm="1">
        <f t="array" ref="R371">_xlfn.SWITCH(TRUE,
  $C371&lt;$Q$5,  $S$41*$C371+$T$41,
  $C371&lt;$Q$6,  $S$42*$C371+$T$42,
  $C371&lt;$Q$7,  $S$43*$C371+$T$43,
  $C371&lt;$Q$8, $S$44*$C371+$T$44,
  $C371&lt;$Q$9, $S$45*$C371+$T$45,
  $C371&lt;$Q$10, $S$46*$C371+$T$46,
  $C371&lt;$Q$11,  $S$47*$C371+$T$47,
  $C371&lt;$Q$12, $S$48*$C371+$T$48,
  $S$49*$C371+$T$49
)</f>
        <v>1.1000000000000001</v>
      </c>
      <c r="S371" cm="1">
        <f t="array" ref="S371">_xlfn.SWITCH(TRUE,
  $C371&lt;$Q$5,  $U$41*$C371+$V$41,
  $C371&lt;$Q$6,  $U$42*$C371+$V$42,
  $C371&lt;$Q$7,  $U$43*$C371+$V$43,
  $C371&lt;$Q$8, $U$44*$C371+$V$44,
  $C371&lt;$Q$9, $U$45*$C371+$V$45,
  $C371&lt;$Q$10, $U$46*$C371+$V$46,
  $C371&lt;$Q$11,  $U$47*$C371+$V$47,
  $C371&lt;$Q$12, $U$48*$C371+$V$48,
  $U$49*$C371+$V$49
)</f>
        <v>3.8</v>
      </c>
      <c r="AE371" cm="1">
        <f t="array" ref="AE371">_xlfn.SWITCH(TRUE,
  $C371&lt;$Q$5,  $U$61*$C371+$V$61,
  $C371&lt;$Q$6,  $U$62*$C371+$V$62,
  $C371&lt;$Q$7,  $U$63*$C371+$V$63,
  $C371&lt;$Q$8, $U$64*$C371+$V$64,
  $C371&lt;$Q$9, $U$65*$C371+$V$65,
  $C371&lt;$Q$10, $U$66*$C371+$V$66,
  $C371&lt;$Q$11,  $U$67*$C371+$V$67,
  $C371&lt;$Q$12, $U$68*$C371+$V$68,
  $U$69*$C371+$V$69
)</f>
        <v>4</v>
      </c>
    </row>
    <row r="372" spans="2:31">
      <c r="B372">
        <f>'主翼(型紙出力)'!B215</f>
        <v>0</v>
      </c>
      <c r="C372">
        <f>'主翼(型紙出力)'!C215</f>
        <v>0</v>
      </c>
      <c r="D372">
        <f>'主翼(型紙出力)'!E215</f>
        <v>0</v>
      </c>
      <c r="E372">
        <f>'主翼(重量推算)'!CE212</f>
        <v>0</v>
      </c>
      <c r="F372" cm="1">
        <f t="array" ref="F372">_xlfn.SWITCH(TRUE,
  $C372&lt;$Q$5,  $S$22*$C372+$T$22,
  $C372&lt;$Q$6,  $S$23*$C372+$T$23,
  $C372&lt;$Q$7,  $S$24*$C372+$T$24,
  $C372&lt;$Q$8, $S$25*$C372+$T$25,
  $C372&lt;$Q$9, $S$26*$C372+$T$26,
  $C372&lt;$Q$10, $S$27*$C372+$T$27,
  $C372&lt;$Q$11,  $S$28*$C372+$T$28,
  $C372&lt;$Q$12, $S$29*$C372+$T$29,
  $S$30*$C372+$T$30
)</f>
        <v>1.1000000000000001</v>
      </c>
      <c r="G372" cm="1">
        <f t="array" ref="G372">_xlfn.SWITCH(TRUE,
  $C372&lt;$Q$5,  $U$22*$C372+$V$22,
  $C372&lt;$Q$6,  $U$23*$C372+$V$23,
  $C372&lt;$Q$7,  $U$24*$C372+$V$24,
  $C372&lt;$Q$8, $U$25*$C372+$V$25,
  $C372&lt;$Q$9, $U$26*$C372+$V$26,
  $C372&lt;$Q$10, $U$27*$C372+$V$27,
  $C372&lt;$Q$11,  $U$28*$C372+$V$28,
  $C372&lt;$Q$12, $U$29*$C372+$V$29,
  $U$30*$C372+$V$30
)</f>
        <v>3.4</v>
      </c>
      <c r="H372" cm="1">
        <f t="array" ref="H372">_xlfn.LET(
  _xlpm.y,$C372,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2" cm="1">
        <f t="array" ref="I372">_xlfn.LET(
  _xlpm.y,$C372,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2" cm="1">
        <f t="array" ref="J372">_xlfn.LET(
  _xlpm.y,$C372,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2" cm="1">
        <f t="array" ref="K372">_xlfn.LET(
  _xlpm.y,$C372,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2" cm="1">
        <f t="array" ref="L372">_xlfn.LET(
  _xlpm.y,$C372,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2" cm="1">
        <f t="array" ref="M372">_xlfn.SWITCH(TRUE,
  $C372&lt;$Q$5,  $D$22,
  $C372&lt;$Q$6,  $D$23,
  $C372&lt;$Q$7,  $D$24,
  $C372&lt;$Q$8,  $D$25,
  $C372&lt;$Q$9,  $D$26,
  $C372&lt;$Q$10,  $D$27,
  $C372&lt;$Q$11,  $D$28,
  $C372&lt;$Q$12,  $D$29,
  $C372&lt;$Q$13,  $D$30,
  $C372&lt;100,  $D$31,
)</f>
        <v>0</v>
      </c>
      <c r="R372" s="244" cm="1">
        <f t="array" ref="R372">_xlfn.SWITCH(TRUE,
  $C372&lt;$Q$5,  $S$41*$C372+$T$41,
  $C372&lt;$Q$6,  $S$42*$C372+$T$42,
  $C372&lt;$Q$7,  $S$43*$C372+$T$43,
  $C372&lt;$Q$8, $S$44*$C372+$T$44,
  $C372&lt;$Q$9, $S$45*$C372+$T$45,
  $C372&lt;$Q$10, $S$46*$C372+$T$46,
  $C372&lt;$Q$11,  $S$47*$C372+$T$47,
  $C372&lt;$Q$12, $S$48*$C372+$T$48,
  $S$49*$C372+$T$49
)</f>
        <v>1.1000000000000001</v>
      </c>
      <c r="S372" cm="1">
        <f t="array" ref="S372">_xlfn.SWITCH(TRUE,
  $C372&lt;$Q$5,  $U$41*$C372+$V$41,
  $C372&lt;$Q$6,  $U$42*$C372+$V$42,
  $C372&lt;$Q$7,  $U$43*$C372+$V$43,
  $C372&lt;$Q$8, $U$44*$C372+$V$44,
  $C372&lt;$Q$9, $U$45*$C372+$V$45,
  $C372&lt;$Q$10, $U$46*$C372+$V$46,
  $C372&lt;$Q$11,  $U$47*$C372+$V$47,
  $C372&lt;$Q$12, $U$48*$C372+$V$48,
  $U$49*$C372+$V$49
)</f>
        <v>3.8</v>
      </c>
      <c r="AE372" cm="1">
        <f t="array" ref="AE372">_xlfn.SWITCH(TRUE,
  $C372&lt;$Q$5,  $U$61*$C372+$V$61,
  $C372&lt;$Q$6,  $U$62*$C372+$V$62,
  $C372&lt;$Q$7,  $U$63*$C372+$V$63,
  $C372&lt;$Q$8, $U$64*$C372+$V$64,
  $C372&lt;$Q$9, $U$65*$C372+$V$65,
  $C372&lt;$Q$10, $U$66*$C372+$V$66,
  $C372&lt;$Q$11,  $U$67*$C372+$V$67,
  $C372&lt;$Q$12, $U$68*$C372+$V$68,
  $U$69*$C372+$V$69
)</f>
        <v>4</v>
      </c>
    </row>
    <row r="373" spans="2:31">
      <c r="B373">
        <f>'主翼(型紙出力)'!B216</f>
        <v>0</v>
      </c>
      <c r="C373">
        <f>'主翼(型紙出力)'!C216</f>
        <v>0</v>
      </c>
      <c r="D373">
        <f>'主翼(型紙出力)'!E216</f>
        <v>0</v>
      </c>
      <c r="E373">
        <f>'主翼(重量推算)'!CE213</f>
        <v>0</v>
      </c>
      <c r="F373" cm="1">
        <f t="array" ref="F373">_xlfn.SWITCH(TRUE,
  $C373&lt;$Q$5,  $S$22*$C373+$T$22,
  $C373&lt;$Q$6,  $S$23*$C373+$T$23,
  $C373&lt;$Q$7,  $S$24*$C373+$T$24,
  $C373&lt;$Q$8, $S$25*$C373+$T$25,
  $C373&lt;$Q$9, $S$26*$C373+$T$26,
  $C373&lt;$Q$10, $S$27*$C373+$T$27,
  $C373&lt;$Q$11,  $S$28*$C373+$T$28,
  $C373&lt;$Q$12, $S$29*$C373+$T$29,
  $S$30*$C373+$T$30
)</f>
        <v>1.1000000000000001</v>
      </c>
      <c r="G373" cm="1">
        <f t="array" ref="G373">_xlfn.SWITCH(TRUE,
  $C373&lt;$Q$5,  $U$22*$C373+$V$22,
  $C373&lt;$Q$6,  $U$23*$C373+$V$23,
  $C373&lt;$Q$7,  $U$24*$C373+$V$24,
  $C373&lt;$Q$8, $U$25*$C373+$V$25,
  $C373&lt;$Q$9, $U$26*$C373+$V$26,
  $C373&lt;$Q$10, $U$27*$C373+$V$27,
  $C373&lt;$Q$11,  $U$28*$C373+$V$28,
  $C373&lt;$Q$12, $U$29*$C373+$V$29,
  $U$30*$C373+$V$30
)</f>
        <v>3.4</v>
      </c>
      <c r="H373" cm="1">
        <f t="array" ref="H373">_xlfn.LET(
  _xlpm.y,$C373,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3" cm="1">
        <f t="array" ref="I373">_xlfn.LET(
  _xlpm.y,$C373,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3" cm="1">
        <f t="array" ref="J373">_xlfn.LET(
  _xlpm.y,$C373,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3" cm="1">
        <f t="array" ref="K373">_xlfn.LET(
  _xlpm.y,$C373,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3" cm="1">
        <f t="array" ref="L373">_xlfn.LET(
  _xlpm.y,$C373,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3" cm="1">
        <f t="array" ref="M373">_xlfn.SWITCH(TRUE,
  $C373&lt;$Q$5,  $D$22,
  $C373&lt;$Q$6,  $D$23,
  $C373&lt;$Q$7,  $D$24,
  $C373&lt;$Q$8,  $D$25,
  $C373&lt;$Q$9,  $D$26,
  $C373&lt;$Q$10,  $D$27,
  $C373&lt;$Q$11,  $D$28,
  $C373&lt;$Q$12,  $D$29,
  $C373&lt;$Q$13,  $D$30,
  $C373&lt;100,  $D$31,
)</f>
        <v>0</v>
      </c>
      <c r="R373" s="244" cm="1">
        <f t="array" ref="R373">_xlfn.SWITCH(TRUE,
  $C373&lt;$Q$5,  $S$41*$C373+$T$41,
  $C373&lt;$Q$6,  $S$42*$C373+$T$42,
  $C373&lt;$Q$7,  $S$43*$C373+$T$43,
  $C373&lt;$Q$8, $S$44*$C373+$T$44,
  $C373&lt;$Q$9, $S$45*$C373+$T$45,
  $C373&lt;$Q$10, $S$46*$C373+$T$46,
  $C373&lt;$Q$11,  $S$47*$C373+$T$47,
  $C373&lt;$Q$12, $S$48*$C373+$T$48,
  $S$49*$C373+$T$49
)</f>
        <v>1.1000000000000001</v>
      </c>
      <c r="S373" cm="1">
        <f t="array" ref="S373">_xlfn.SWITCH(TRUE,
  $C373&lt;$Q$5,  $U$41*$C373+$V$41,
  $C373&lt;$Q$6,  $U$42*$C373+$V$42,
  $C373&lt;$Q$7,  $U$43*$C373+$V$43,
  $C373&lt;$Q$8, $U$44*$C373+$V$44,
  $C373&lt;$Q$9, $U$45*$C373+$V$45,
  $C373&lt;$Q$10, $U$46*$C373+$V$46,
  $C373&lt;$Q$11,  $U$47*$C373+$V$47,
  $C373&lt;$Q$12, $U$48*$C373+$V$48,
  $U$49*$C373+$V$49
)</f>
        <v>3.8</v>
      </c>
      <c r="AE373" cm="1">
        <f t="array" ref="AE373">_xlfn.SWITCH(TRUE,
  $C373&lt;$Q$5,  $U$61*$C373+$V$61,
  $C373&lt;$Q$6,  $U$62*$C373+$V$62,
  $C373&lt;$Q$7,  $U$63*$C373+$V$63,
  $C373&lt;$Q$8, $U$64*$C373+$V$64,
  $C373&lt;$Q$9, $U$65*$C373+$V$65,
  $C373&lt;$Q$10, $U$66*$C373+$V$66,
  $C373&lt;$Q$11,  $U$67*$C373+$V$67,
  $C373&lt;$Q$12, $U$68*$C373+$V$68,
  $U$69*$C373+$V$69
)</f>
        <v>4</v>
      </c>
    </row>
    <row r="374" spans="2:31">
      <c r="B374">
        <f>'主翼(型紙出力)'!B217</f>
        <v>0</v>
      </c>
      <c r="C374">
        <f>'主翼(型紙出力)'!C217</f>
        <v>0</v>
      </c>
      <c r="D374">
        <f>'主翼(型紙出力)'!E217</f>
        <v>0</v>
      </c>
      <c r="E374">
        <f>'主翼(重量推算)'!CE214</f>
        <v>0</v>
      </c>
      <c r="F374" cm="1">
        <f t="array" ref="F374">_xlfn.SWITCH(TRUE,
  $C374&lt;$Q$5,  $S$22*$C374+$T$22,
  $C374&lt;$Q$6,  $S$23*$C374+$T$23,
  $C374&lt;$Q$7,  $S$24*$C374+$T$24,
  $C374&lt;$Q$8, $S$25*$C374+$T$25,
  $C374&lt;$Q$9, $S$26*$C374+$T$26,
  $C374&lt;$Q$10, $S$27*$C374+$T$27,
  $C374&lt;$Q$11,  $S$28*$C374+$T$28,
  $C374&lt;$Q$12, $S$29*$C374+$T$29,
  $S$30*$C374+$T$30
)</f>
        <v>1.1000000000000001</v>
      </c>
      <c r="G374" cm="1">
        <f t="array" ref="G374">_xlfn.SWITCH(TRUE,
  $C374&lt;$Q$5,  $U$22*$C374+$V$22,
  $C374&lt;$Q$6,  $U$23*$C374+$V$23,
  $C374&lt;$Q$7,  $U$24*$C374+$V$24,
  $C374&lt;$Q$8, $U$25*$C374+$V$25,
  $C374&lt;$Q$9, $U$26*$C374+$V$26,
  $C374&lt;$Q$10, $U$27*$C374+$V$27,
  $C374&lt;$Q$11,  $U$28*$C374+$V$28,
  $C374&lt;$Q$12, $U$29*$C374+$V$29,
  $U$30*$C374+$V$30
)</f>
        <v>3.4</v>
      </c>
      <c r="H374" cm="1">
        <f t="array" ref="H374">_xlfn.LET(
  _xlpm.y,$C374,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4" cm="1">
        <f t="array" ref="I374">_xlfn.LET(
  _xlpm.y,$C374,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4" cm="1">
        <f t="array" ref="J374">_xlfn.LET(
  _xlpm.y,$C374,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4" cm="1">
        <f t="array" ref="K374">_xlfn.LET(
  _xlpm.y,$C374,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4" cm="1">
        <f t="array" ref="L374">_xlfn.LET(
  _xlpm.y,$C374,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4" cm="1">
        <f t="array" ref="M374">_xlfn.SWITCH(TRUE,
  $C374&lt;$Q$5,  $D$22,
  $C374&lt;$Q$6,  $D$23,
  $C374&lt;$Q$7,  $D$24,
  $C374&lt;$Q$8,  $D$25,
  $C374&lt;$Q$9,  $D$26,
  $C374&lt;$Q$10,  $D$27,
  $C374&lt;$Q$11,  $D$28,
  $C374&lt;$Q$12,  $D$29,
  $C374&lt;$Q$13,  $D$30,
  $C374&lt;100,  $D$31,
)</f>
        <v>0</v>
      </c>
      <c r="R374" s="244" cm="1">
        <f t="array" ref="R374">_xlfn.SWITCH(TRUE,
  $C374&lt;$Q$5,  $S$41*$C374+$T$41,
  $C374&lt;$Q$6,  $S$42*$C374+$T$42,
  $C374&lt;$Q$7,  $S$43*$C374+$T$43,
  $C374&lt;$Q$8, $S$44*$C374+$T$44,
  $C374&lt;$Q$9, $S$45*$C374+$T$45,
  $C374&lt;$Q$10, $S$46*$C374+$T$46,
  $C374&lt;$Q$11,  $S$47*$C374+$T$47,
  $C374&lt;$Q$12, $S$48*$C374+$T$48,
  $S$49*$C374+$T$49
)</f>
        <v>1.1000000000000001</v>
      </c>
      <c r="S374" cm="1">
        <f t="array" ref="S374">_xlfn.SWITCH(TRUE,
  $C374&lt;$Q$5,  $U$41*$C374+$V$41,
  $C374&lt;$Q$6,  $U$42*$C374+$V$42,
  $C374&lt;$Q$7,  $U$43*$C374+$V$43,
  $C374&lt;$Q$8, $U$44*$C374+$V$44,
  $C374&lt;$Q$9, $U$45*$C374+$V$45,
  $C374&lt;$Q$10, $U$46*$C374+$V$46,
  $C374&lt;$Q$11,  $U$47*$C374+$V$47,
  $C374&lt;$Q$12, $U$48*$C374+$V$48,
  $U$49*$C374+$V$49
)</f>
        <v>3.8</v>
      </c>
    </row>
    <row r="375" spans="2:31">
      <c r="B375">
        <f>'主翼(型紙出力)'!B218</f>
        <v>0</v>
      </c>
      <c r="C375">
        <f>'主翼(型紙出力)'!C218</f>
        <v>0</v>
      </c>
      <c r="D375">
        <f>'主翼(型紙出力)'!E218</f>
        <v>0</v>
      </c>
      <c r="E375">
        <f>'主翼(重量推算)'!CE215</f>
        <v>0</v>
      </c>
      <c r="F375" cm="1">
        <f t="array" ref="F375">_xlfn.SWITCH(TRUE,
  $C375&lt;$Q$5,  $S$22*$C375+$T$22,
  $C375&lt;$Q$6,  $S$23*$C375+$T$23,
  $C375&lt;$Q$7,  $S$24*$C375+$T$24,
  $C375&lt;$Q$8, $S$25*$C375+$T$25,
  $C375&lt;$Q$9, $S$26*$C375+$T$26,
  $C375&lt;$Q$10, $S$27*$C375+$T$27,
  $C375&lt;$Q$11,  $S$28*$C375+$T$28,
  $C375&lt;$Q$12, $S$29*$C375+$T$29,
  $S$30*$C375+$T$30
)</f>
        <v>1.1000000000000001</v>
      </c>
      <c r="G375" cm="1">
        <f t="array" ref="G375">_xlfn.SWITCH(TRUE,
  $C375&lt;$Q$5,  $U$22*$C375+$V$22,
  $C375&lt;$Q$6,  $U$23*$C375+$V$23,
  $C375&lt;$Q$7,  $U$24*$C375+$V$24,
  $C375&lt;$Q$8, $U$25*$C375+$V$25,
  $C375&lt;$Q$9, $U$26*$C375+$V$26,
  $C375&lt;$Q$10, $U$27*$C375+$V$27,
  $C375&lt;$Q$11,  $U$28*$C375+$V$28,
  $C375&lt;$Q$12, $U$29*$C375+$V$29,
  $U$30*$C375+$V$30
)</f>
        <v>3.4</v>
      </c>
      <c r="H375" cm="1">
        <f t="array" ref="H375">_xlfn.LET(
  _xlpm.y,$C375,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5" cm="1">
        <f t="array" ref="I375">_xlfn.LET(
  _xlpm.y,$C375,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5" cm="1">
        <f t="array" ref="J375">_xlfn.LET(
  _xlpm.y,$C375,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5" cm="1">
        <f t="array" ref="K375">_xlfn.LET(
  _xlpm.y,$C375,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5" cm="1">
        <f t="array" ref="L375">_xlfn.LET(
  _xlpm.y,$C375,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5" cm="1">
        <f t="array" ref="M375">_xlfn.SWITCH(TRUE,
  $C375&lt;$Q$5,  $D$22,
  $C375&lt;$Q$6,  $D$23,
  $C375&lt;$Q$7,  $D$24,
  $C375&lt;$Q$8,  $D$25,
  $C375&lt;$Q$9,  $D$26,
  $C375&lt;$Q$10,  $D$27,
  $C375&lt;$Q$11,  $D$28,
  $C375&lt;$Q$12,  $D$29,
  $C375&lt;$Q$13,  $D$30,
  $C375&lt;100,  $D$31,
)</f>
        <v>0</v>
      </c>
      <c r="R375" s="244" cm="1">
        <f t="array" ref="R375">_xlfn.SWITCH(TRUE,
  $C375&lt;$Q$5,  $S$41*$C375+$T$41,
  $C375&lt;$Q$6,  $S$42*$C375+$T$42,
  $C375&lt;$Q$7,  $S$43*$C375+$T$43,
  $C375&lt;$Q$8, $S$44*$C375+$T$44,
  $C375&lt;$Q$9, $S$45*$C375+$T$45,
  $C375&lt;$Q$10, $S$46*$C375+$T$46,
  $C375&lt;$Q$11,  $S$47*$C375+$T$47,
  $C375&lt;$Q$12, $S$48*$C375+$T$48,
  $S$49*$C375+$T$49
)</f>
        <v>1.1000000000000001</v>
      </c>
      <c r="S375" cm="1">
        <f t="array" ref="S375">_xlfn.SWITCH(TRUE,
  $C375&lt;$Q$5,  $U$41*$C375+$V$41,
  $C375&lt;$Q$6,  $U$42*$C375+$V$42,
  $C375&lt;$Q$7,  $U$43*$C375+$V$43,
  $C375&lt;$Q$8, $U$44*$C375+$V$44,
  $C375&lt;$Q$9, $U$45*$C375+$V$45,
  $C375&lt;$Q$10, $U$46*$C375+$V$46,
  $C375&lt;$Q$11,  $U$47*$C375+$V$47,
  $C375&lt;$Q$12, $U$48*$C375+$V$48,
  $U$49*$C375+$V$49
)</f>
        <v>3.8</v>
      </c>
    </row>
    <row r="376" spans="2:31">
      <c r="B376">
        <f>'主翼(型紙出力)'!B219</f>
        <v>0</v>
      </c>
      <c r="C376">
        <f>'主翼(型紙出力)'!C219</f>
        <v>0</v>
      </c>
      <c r="D376">
        <f>'主翼(型紙出力)'!E219</f>
        <v>0</v>
      </c>
      <c r="E376">
        <f>'主翼(重量推算)'!CE216</f>
        <v>0</v>
      </c>
      <c r="F376" cm="1">
        <f t="array" ref="F376">_xlfn.SWITCH(TRUE,
  $C376&lt;$Q$5,  $S$22*$C376+$T$22,
  $C376&lt;$Q$6,  $S$23*$C376+$T$23,
  $C376&lt;$Q$7,  $S$24*$C376+$T$24,
  $C376&lt;$Q$8, $S$25*$C376+$T$25,
  $C376&lt;$Q$9, $S$26*$C376+$T$26,
  $C376&lt;$Q$10, $S$27*$C376+$T$27,
  $C376&lt;$Q$11,  $S$28*$C376+$T$28,
  $C376&lt;$Q$12, $S$29*$C376+$T$29,
  $S$30*$C376+$T$30
)</f>
        <v>1.1000000000000001</v>
      </c>
      <c r="G376" cm="1">
        <f t="array" ref="G376">_xlfn.SWITCH(TRUE,
  $C376&lt;$Q$5,  $U$22*$C376+$V$22,
  $C376&lt;$Q$6,  $U$23*$C376+$V$23,
  $C376&lt;$Q$7,  $U$24*$C376+$V$24,
  $C376&lt;$Q$8, $U$25*$C376+$V$25,
  $C376&lt;$Q$9, $U$26*$C376+$V$26,
  $C376&lt;$Q$10, $U$27*$C376+$V$27,
  $C376&lt;$Q$11,  $U$28*$C376+$V$28,
  $C376&lt;$Q$12, $U$29*$C376+$V$29,
  $U$30*$C376+$V$30
)</f>
        <v>3.4</v>
      </c>
      <c r="H376" cm="1">
        <f t="array" ref="H376">_xlfn.LET(
  _xlpm.y,$C376,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6" cm="1">
        <f t="array" ref="I376">_xlfn.LET(
  _xlpm.y,$C376,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6" cm="1">
        <f t="array" ref="J376">_xlfn.LET(
  _xlpm.y,$C376,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6" cm="1">
        <f t="array" ref="K376">_xlfn.LET(
  _xlpm.y,$C376,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6" cm="1">
        <f t="array" ref="L376">_xlfn.LET(
  _xlpm.y,$C376,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6" cm="1">
        <f t="array" ref="M376">_xlfn.SWITCH(TRUE,
  $C376&lt;$Q$5,  $D$22,
  $C376&lt;$Q$6,  $D$23,
  $C376&lt;$Q$7,  $D$24,
  $C376&lt;$Q$8,  $D$25,
  $C376&lt;$Q$9,  $D$26,
  $C376&lt;$Q$10,  $D$27,
  $C376&lt;$Q$11,  $D$28,
  $C376&lt;$Q$12,  $D$29,
  $C376&lt;$Q$13,  $D$30,
  $C376&lt;100,  $D$31,
)</f>
        <v>0</v>
      </c>
      <c r="R376" s="244" cm="1">
        <f t="array" ref="R376">_xlfn.SWITCH(TRUE,
  $C376&lt;$Q$5,  $S$41*$C376+$T$41,
  $C376&lt;$Q$6,  $S$42*$C376+$T$42,
  $C376&lt;$Q$7,  $S$43*$C376+$T$43,
  $C376&lt;$Q$8, $S$44*$C376+$T$44,
  $C376&lt;$Q$9, $S$45*$C376+$T$45,
  $C376&lt;$Q$10, $S$46*$C376+$T$46,
  $C376&lt;$Q$11,  $S$47*$C376+$T$47,
  $C376&lt;$Q$12, $S$48*$C376+$T$48,
  $S$49*$C376+$T$49
)</f>
        <v>1.1000000000000001</v>
      </c>
      <c r="S376" cm="1">
        <f t="array" ref="S376">_xlfn.SWITCH(TRUE,
  $C376&lt;$Q$5,  $U$41*$C376+$V$41,
  $C376&lt;$Q$6,  $U$42*$C376+$V$42,
  $C376&lt;$Q$7,  $U$43*$C376+$V$43,
  $C376&lt;$Q$8, $U$44*$C376+$V$44,
  $C376&lt;$Q$9, $U$45*$C376+$V$45,
  $C376&lt;$Q$10, $U$46*$C376+$V$46,
  $C376&lt;$Q$11,  $U$47*$C376+$V$47,
  $C376&lt;$Q$12, $U$48*$C376+$V$48,
  $U$49*$C376+$V$49
)</f>
        <v>3.8</v>
      </c>
    </row>
    <row r="377" spans="2:31">
      <c r="B377">
        <f>'主翼(型紙出力)'!B220</f>
        <v>0</v>
      </c>
      <c r="C377">
        <f>'主翼(型紙出力)'!C220</f>
        <v>0</v>
      </c>
      <c r="D377">
        <f>'主翼(型紙出力)'!E220</f>
        <v>0</v>
      </c>
      <c r="E377">
        <f>'主翼(重量推算)'!CE217</f>
        <v>0</v>
      </c>
      <c r="F377" cm="1">
        <f t="array" ref="F377">_xlfn.SWITCH(TRUE,
  $C377&lt;$Q$5,  $S$22*$C377+$T$22,
  $C377&lt;$Q$6,  $S$23*$C377+$T$23,
  $C377&lt;$Q$7,  $S$24*$C377+$T$24,
  $C377&lt;$Q$8, $S$25*$C377+$T$25,
  $C377&lt;$Q$9, $S$26*$C377+$T$26,
  $C377&lt;$Q$10, $S$27*$C377+$T$27,
  $C377&lt;$Q$11,  $S$28*$C377+$T$28,
  $C377&lt;$Q$12, $S$29*$C377+$T$29,
  $S$30*$C377+$T$30
)</f>
        <v>1.1000000000000001</v>
      </c>
      <c r="G377" cm="1">
        <f t="array" ref="G377">_xlfn.SWITCH(TRUE,
  $C377&lt;$Q$5,  $U$22*$C377+$V$22,
  $C377&lt;$Q$6,  $U$23*$C377+$V$23,
  $C377&lt;$Q$7,  $U$24*$C377+$V$24,
  $C377&lt;$Q$8, $U$25*$C377+$V$25,
  $C377&lt;$Q$9, $U$26*$C377+$V$26,
  $C377&lt;$Q$10, $U$27*$C377+$V$27,
  $C377&lt;$Q$11,  $U$28*$C377+$V$28,
  $C377&lt;$Q$12, $U$29*$C377+$V$29,
  $U$30*$C377+$V$30
)</f>
        <v>3.4</v>
      </c>
      <c r="H377" cm="1">
        <f t="array" ref="H377">_xlfn.LET(
  _xlpm.y,$C377,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7" cm="1">
        <f t="array" ref="I377">_xlfn.LET(
  _xlpm.y,$C377,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7" cm="1">
        <f t="array" ref="J377">_xlfn.LET(
  _xlpm.y,$C377,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7" cm="1">
        <f t="array" ref="K377">_xlfn.LET(
  _xlpm.y,$C377,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7" cm="1">
        <f t="array" ref="L377">_xlfn.LET(
  _xlpm.y,$C377,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7" cm="1">
        <f t="array" ref="M377">_xlfn.SWITCH(TRUE,
  $C377&lt;$Q$5,  $D$22,
  $C377&lt;$Q$6,  $D$23,
  $C377&lt;$Q$7,  $D$24,
  $C377&lt;$Q$8,  $D$25,
  $C377&lt;$Q$9,  $D$26,
  $C377&lt;$Q$10,  $D$27,
  $C377&lt;$Q$11,  $D$28,
  $C377&lt;$Q$12,  $D$29,
  $C377&lt;$Q$13,  $D$30,
  $C377&lt;100,  $D$31,
)</f>
        <v>0</v>
      </c>
      <c r="R377" s="244" cm="1">
        <f t="array" ref="R377">_xlfn.SWITCH(TRUE,
  $C377&lt;$Q$5,  $S$41*$C377+$T$41,
  $C377&lt;$Q$6,  $S$42*$C377+$T$42,
  $C377&lt;$Q$7,  $S$43*$C377+$T$43,
  $C377&lt;$Q$8, $S$44*$C377+$T$44,
  $C377&lt;$Q$9, $S$45*$C377+$T$45,
  $C377&lt;$Q$10, $S$46*$C377+$T$46,
  $C377&lt;$Q$11,  $S$47*$C377+$T$47,
  $C377&lt;$Q$12, $S$48*$C377+$T$48,
  $S$49*$C377+$T$49
)</f>
        <v>1.1000000000000001</v>
      </c>
      <c r="S377" cm="1">
        <f t="array" ref="S377">_xlfn.SWITCH(TRUE,
  $C377&lt;$Q$5,  $U$41*$C377+$V$41,
  $C377&lt;$Q$6,  $U$42*$C377+$V$42,
  $C377&lt;$Q$7,  $U$43*$C377+$V$43,
  $C377&lt;$Q$8, $U$44*$C377+$V$44,
  $C377&lt;$Q$9, $U$45*$C377+$V$45,
  $C377&lt;$Q$10, $U$46*$C377+$V$46,
  $C377&lt;$Q$11,  $U$47*$C377+$V$47,
  $C377&lt;$Q$12, $U$48*$C377+$V$48,
  $U$49*$C377+$V$49
)</f>
        <v>3.8</v>
      </c>
    </row>
    <row r="378" spans="2:31">
      <c r="B378">
        <f>'主翼(型紙出力)'!B221</f>
        <v>0</v>
      </c>
      <c r="C378">
        <f>'主翼(型紙出力)'!C221</f>
        <v>0</v>
      </c>
      <c r="D378">
        <f>'主翼(型紙出力)'!E221</f>
        <v>0</v>
      </c>
      <c r="E378">
        <f>'主翼(重量推算)'!CE218</f>
        <v>0</v>
      </c>
      <c r="F378" cm="1">
        <f t="array" ref="F378">_xlfn.SWITCH(TRUE,
  $C378&lt;$Q$5,  $S$22*$C378+$T$22,
  $C378&lt;$Q$6,  $S$23*$C378+$T$23,
  $C378&lt;$Q$7,  $S$24*$C378+$T$24,
  $C378&lt;$Q$8, $S$25*$C378+$T$25,
  $C378&lt;$Q$9, $S$26*$C378+$T$26,
  $C378&lt;$Q$10, $S$27*$C378+$T$27,
  $C378&lt;$Q$11,  $S$28*$C378+$T$28,
  $C378&lt;$Q$12, $S$29*$C378+$T$29,
  $S$30*$C378+$T$30
)</f>
        <v>1.1000000000000001</v>
      </c>
      <c r="G378" cm="1">
        <f t="array" ref="G378">_xlfn.SWITCH(TRUE,
  $C378&lt;$Q$5,  $U$22*$C378+$V$22,
  $C378&lt;$Q$6,  $U$23*$C378+$V$23,
  $C378&lt;$Q$7,  $U$24*$C378+$V$24,
  $C378&lt;$Q$8, $U$25*$C378+$V$25,
  $C378&lt;$Q$9, $U$26*$C378+$V$26,
  $C378&lt;$Q$10, $U$27*$C378+$V$27,
  $C378&lt;$Q$11,  $U$28*$C378+$V$28,
  $C378&lt;$Q$12, $U$29*$C378+$V$29,
  $U$30*$C378+$V$30
)</f>
        <v>3.4</v>
      </c>
      <c r="H378" cm="1">
        <f t="array" ref="H378">_xlfn.LET(
  _xlpm.y,$C378,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8" cm="1">
        <f t="array" ref="I378">_xlfn.LET(
  _xlpm.y,$C378,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8" cm="1">
        <f t="array" ref="J378">_xlfn.LET(
  _xlpm.y,$C378,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8" cm="1">
        <f t="array" ref="K378">_xlfn.LET(
  _xlpm.y,$C378,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8" cm="1">
        <f t="array" ref="L378">_xlfn.LET(
  _xlpm.y,$C378,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8" cm="1">
        <f t="array" ref="M378">_xlfn.SWITCH(TRUE,
  $C378&lt;$Q$5,  $D$22,
  $C378&lt;$Q$6,  $D$23,
  $C378&lt;$Q$7,  $D$24,
  $C378&lt;$Q$8,  $D$25,
  $C378&lt;$Q$9,  $D$26,
  $C378&lt;$Q$10,  $D$27,
  $C378&lt;$Q$11,  $D$28,
  $C378&lt;$Q$12,  $D$29,
  $C378&lt;$Q$13,  $D$30,
  $C378&lt;100,  $D$31,
)</f>
        <v>0</v>
      </c>
      <c r="R378" s="244" cm="1">
        <f t="array" ref="R378">_xlfn.SWITCH(TRUE,
  $C378&lt;$Q$5,  $S$41*$C378+$T$41,
  $C378&lt;$Q$6,  $S$42*$C378+$T$42,
  $C378&lt;$Q$7,  $S$43*$C378+$T$43,
  $C378&lt;$Q$8, $S$44*$C378+$T$44,
  $C378&lt;$Q$9, $S$45*$C378+$T$45,
  $C378&lt;$Q$10, $S$46*$C378+$T$46,
  $C378&lt;$Q$11,  $S$47*$C378+$T$47,
  $C378&lt;$Q$12, $S$48*$C378+$T$48,
  $S$49*$C378+$T$49
)</f>
        <v>1.1000000000000001</v>
      </c>
      <c r="S378" cm="1">
        <f t="array" ref="S378">_xlfn.SWITCH(TRUE,
  $C378&lt;$Q$5,  $U$41*$C378+$V$41,
  $C378&lt;$Q$6,  $U$42*$C378+$V$42,
  $C378&lt;$Q$7,  $U$43*$C378+$V$43,
  $C378&lt;$Q$8, $U$44*$C378+$V$44,
  $C378&lt;$Q$9, $U$45*$C378+$V$45,
  $C378&lt;$Q$10, $U$46*$C378+$V$46,
  $C378&lt;$Q$11,  $U$47*$C378+$V$47,
  $C378&lt;$Q$12, $U$48*$C378+$V$48,
  $U$49*$C378+$V$49
)</f>
        <v>3.8</v>
      </c>
    </row>
    <row r="379" spans="2:31">
      <c r="B379">
        <f>'主翼(型紙出力)'!B222</f>
        <v>0</v>
      </c>
      <c r="C379">
        <f>'主翼(型紙出力)'!C222</f>
        <v>0</v>
      </c>
      <c r="D379">
        <f>'主翼(型紙出力)'!E222</f>
        <v>0</v>
      </c>
      <c r="E379">
        <f>'主翼(重量推算)'!CE219</f>
        <v>0</v>
      </c>
      <c r="F379" cm="1">
        <f t="array" ref="F379">_xlfn.SWITCH(TRUE,
  $C379&lt;$Q$5,  $S$22*$C379+$T$22,
  $C379&lt;$Q$6,  $S$23*$C379+$T$23,
  $C379&lt;$Q$7,  $S$24*$C379+$T$24,
  $C379&lt;$Q$8, $S$25*$C379+$T$25,
  $C379&lt;$Q$9, $S$26*$C379+$T$26,
  $C379&lt;$Q$10, $S$27*$C379+$T$27,
  $C379&lt;$Q$11,  $S$28*$C379+$T$28,
  $C379&lt;$Q$12, $S$29*$C379+$T$29,
  $S$30*$C379+$T$30
)</f>
        <v>1.1000000000000001</v>
      </c>
      <c r="G379" cm="1">
        <f t="array" ref="G379">_xlfn.SWITCH(TRUE,
  $C379&lt;$Q$5,  $U$22*$C379+$V$22,
  $C379&lt;$Q$6,  $U$23*$C379+$V$23,
  $C379&lt;$Q$7,  $U$24*$C379+$V$24,
  $C379&lt;$Q$8, $U$25*$C379+$V$25,
  $C379&lt;$Q$9, $U$26*$C379+$V$26,
  $C379&lt;$Q$10, $U$27*$C379+$V$27,
  $C379&lt;$Q$11,  $U$28*$C379+$V$28,
  $C379&lt;$Q$12, $U$29*$C379+$V$29,
  $U$30*$C379+$V$30
)</f>
        <v>3.4</v>
      </c>
      <c r="H379" cm="1">
        <f t="array" ref="H379">_xlfn.LET(
  _xlpm.y,$C379,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9" cm="1">
        <f t="array" ref="I379">_xlfn.LET(
  _xlpm.y,$C379,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9" cm="1">
        <f t="array" ref="J379">_xlfn.LET(
  _xlpm.y,$C379,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9" cm="1">
        <f t="array" ref="K379">_xlfn.LET(
  _xlpm.y,$C379,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9" cm="1">
        <f t="array" ref="L379">_xlfn.LET(
  _xlpm.y,$C379,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9" cm="1">
        <f t="array" ref="M379">_xlfn.SWITCH(TRUE,
  $C379&lt;$Q$5,  $D$22,
  $C379&lt;$Q$6,  $D$23,
  $C379&lt;$Q$7,  $D$24,
  $C379&lt;$Q$8,  $D$25,
  $C379&lt;$Q$9,  $D$26,
  $C379&lt;$Q$10,  $D$27,
  $C379&lt;$Q$11,  $D$28,
  $C379&lt;$Q$12,  $D$29,
  $C379&lt;$Q$13,  $D$30,
  $C379&lt;100,  $D$31,
)</f>
        <v>0</v>
      </c>
      <c r="R379" s="244" cm="1">
        <f t="array" ref="R379">_xlfn.SWITCH(TRUE,
  $C379&lt;$Q$5,  $S$41*$C379+$T$41,
  $C379&lt;$Q$6,  $S$42*$C379+$T$42,
  $C379&lt;$Q$7,  $S$43*$C379+$T$43,
  $C379&lt;$Q$8, $S$44*$C379+$T$44,
  $C379&lt;$Q$9, $S$45*$C379+$T$45,
  $C379&lt;$Q$10, $S$46*$C379+$T$46,
  $C379&lt;$Q$11,  $S$47*$C379+$T$47,
  $C379&lt;$Q$12, $S$48*$C379+$T$48,
  $S$49*$C379+$T$49
)</f>
        <v>1.1000000000000001</v>
      </c>
      <c r="S379" cm="1">
        <f t="array" ref="S379">_xlfn.SWITCH(TRUE,
  $C379&lt;$Q$5,  $U$41*$C379+$V$41,
  $C379&lt;$Q$6,  $U$42*$C379+$V$42,
  $C379&lt;$Q$7,  $U$43*$C379+$V$43,
  $C379&lt;$Q$8, $U$44*$C379+$V$44,
  $C379&lt;$Q$9, $U$45*$C379+$V$45,
  $C379&lt;$Q$10, $U$46*$C379+$V$46,
  $C379&lt;$Q$11,  $U$47*$C379+$V$47,
  $C379&lt;$Q$12, $U$48*$C379+$V$48,
  $U$49*$C379+$V$49
)</f>
        <v>3.8</v>
      </c>
    </row>
    <row r="380" spans="2:31">
      <c r="B380">
        <f>'主翼(型紙出力)'!B223</f>
        <v>0</v>
      </c>
      <c r="C380">
        <f>'主翼(型紙出力)'!C223</f>
        <v>0</v>
      </c>
      <c r="D380">
        <f>'主翼(型紙出力)'!E223</f>
        <v>0</v>
      </c>
      <c r="E380">
        <f>'主翼(重量推算)'!CE220</f>
        <v>0</v>
      </c>
      <c r="F380" cm="1">
        <f t="array" ref="F380">_xlfn.SWITCH(TRUE,
  $C380&lt;$Q$5,  $S$22*$C380+$T$22,
  $C380&lt;$Q$6,  $S$23*$C380+$T$23,
  $C380&lt;$Q$7,  $S$24*$C380+$T$24,
  $C380&lt;$Q$8, $S$25*$C380+$T$25,
  $C380&lt;$Q$9, $S$26*$C380+$T$26,
  $C380&lt;$Q$10, $S$27*$C380+$T$27,
  $C380&lt;$Q$11,  $S$28*$C380+$T$28,
  $C380&lt;$Q$12, $S$29*$C380+$T$29,
  $S$30*$C380+$T$30
)</f>
        <v>1.1000000000000001</v>
      </c>
      <c r="G380" cm="1">
        <f t="array" ref="G380">_xlfn.SWITCH(TRUE,
  $C380&lt;$Q$5,  $U$22*$C380+$V$22,
  $C380&lt;$Q$6,  $U$23*$C380+$V$23,
  $C380&lt;$Q$7,  $U$24*$C380+$V$24,
  $C380&lt;$Q$8, $U$25*$C380+$V$25,
  $C380&lt;$Q$9, $U$26*$C380+$V$26,
  $C380&lt;$Q$10, $U$27*$C380+$V$27,
  $C380&lt;$Q$11,  $U$28*$C380+$V$28,
  $C380&lt;$Q$12, $U$29*$C380+$V$29,
  $U$30*$C380+$V$30
)</f>
        <v>3.4</v>
      </c>
      <c r="H380" cm="1">
        <f t="array" ref="H380">_xlfn.LET(
  _xlpm.y,$C380,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0" cm="1">
        <f t="array" ref="I380">_xlfn.LET(
  _xlpm.y,$C380,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0" cm="1">
        <f t="array" ref="J380">_xlfn.LET(
  _xlpm.y,$C380,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0" cm="1">
        <f t="array" ref="K380">_xlfn.LET(
  _xlpm.y,$C380,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0" cm="1">
        <f t="array" ref="L380">_xlfn.LET(
  _xlpm.y,$C380,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0" cm="1">
        <f t="array" ref="M380">_xlfn.SWITCH(TRUE,
  $C380&lt;$Q$5,  $D$22,
  $C380&lt;$Q$6,  $D$23,
  $C380&lt;$Q$7,  $D$24,
  $C380&lt;$Q$8,  $D$25,
  $C380&lt;$Q$9,  $D$26,
  $C380&lt;$Q$10,  $D$27,
  $C380&lt;$Q$11,  $D$28,
  $C380&lt;$Q$12,  $D$29,
  $C380&lt;$Q$13,  $D$30,
  $C380&lt;100,  $D$31,
)</f>
        <v>0</v>
      </c>
      <c r="R380" s="244" cm="1">
        <f t="array" ref="R380">_xlfn.SWITCH(TRUE,
  $C380&lt;$Q$5,  $S$41*$C380+$T$41,
  $C380&lt;$Q$6,  $S$42*$C380+$T$42,
  $C380&lt;$Q$7,  $S$43*$C380+$T$43,
  $C380&lt;$Q$8, $S$44*$C380+$T$44,
  $C380&lt;$Q$9, $S$45*$C380+$T$45,
  $C380&lt;$Q$10, $S$46*$C380+$T$46,
  $C380&lt;$Q$11,  $S$47*$C380+$T$47,
  $C380&lt;$Q$12, $S$48*$C380+$T$48,
  $S$49*$C380+$T$49
)</f>
        <v>1.1000000000000001</v>
      </c>
      <c r="S380" cm="1">
        <f t="array" ref="S380">_xlfn.SWITCH(TRUE,
  $C380&lt;$Q$5,  $U$41*$C380+$V$41,
  $C380&lt;$Q$6,  $U$42*$C380+$V$42,
  $C380&lt;$Q$7,  $U$43*$C380+$V$43,
  $C380&lt;$Q$8, $U$44*$C380+$V$44,
  $C380&lt;$Q$9, $U$45*$C380+$V$45,
  $C380&lt;$Q$10, $U$46*$C380+$V$46,
  $C380&lt;$Q$11,  $U$47*$C380+$V$47,
  $C380&lt;$Q$12, $U$48*$C380+$V$48,
  $U$49*$C380+$V$49
)</f>
        <v>3.8</v>
      </c>
    </row>
    <row r="381" spans="2:31">
      <c r="B381">
        <f>'主翼(型紙出力)'!B224</f>
        <v>0</v>
      </c>
      <c r="C381">
        <f>'主翼(型紙出力)'!C224</f>
        <v>0</v>
      </c>
      <c r="D381">
        <f>'主翼(型紙出力)'!E224</f>
        <v>0</v>
      </c>
      <c r="E381">
        <f>'主翼(重量推算)'!CE221</f>
        <v>0</v>
      </c>
      <c r="F381" cm="1">
        <f t="array" ref="F381">_xlfn.SWITCH(TRUE,
  $C381&lt;$Q$5,  $S$22*$C381+$T$22,
  $C381&lt;$Q$6,  $S$23*$C381+$T$23,
  $C381&lt;$Q$7,  $S$24*$C381+$T$24,
  $C381&lt;$Q$8, $S$25*$C381+$T$25,
  $C381&lt;$Q$9, $S$26*$C381+$T$26,
  $C381&lt;$Q$10, $S$27*$C381+$T$27,
  $C381&lt;$Q$11,  $S$28*$C381+$T$28,
  $C381&lt;$Q$12, $S$29*$C381+$T$29,
  $S$30*$C381+$T$30
)</f>
        <v>1.1000000000000001</v>
      </c>
      <c r="G381" cm="1">
        <f t="array" ref="G381">_xlfn.SWITCH(TRUE,
  $C381&lt;$Q$5,  $U$22*$C381+$V$22,
  $C381&lt;$Q$6,  $U$23*$C381+$V$23,
  $C381&lt;$Q$7,  $U$24*$C381+$V$24,
  $C381&lt;$Q$8, $U$25*$C381+$V$25,
  $C381&lt;$Q$9, $U$26*$C381+$V$26,
  $C381&lt;$Q$10, $U$27*$C381+$V$27,
  $C381&lt;$Q$11,  $U$28*$C381+$V$28,
  $C381&lt;$Q$12, $U$29*$C381+$V$29,
  $U$30*$C381+$V$30
)</f>
        <v>3.4</v>
      </c>
      <c r="H381" cm="1">
        <f t="array" ref="H381">_xlfn.LET(
  _xlpm.y,$C381,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1" cm="1">
        <f t="array" ref="I381">_xlfn.LET(
  _xlpm.y,$C381,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1" cm="1">
        <f t="array" ref="J381">_xlfn.LET(
  _xlpm.y,$C381,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1" cm="1">
        <f t="array" ref="K381">_xlfn.LET(
  _xlpm.y,$C381,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1" cm="1">
        <f t="array" ref="L381">_xlfn.LET(
  _xlpm.y,$C381,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1" cm="1">
        <f t="array" ref="M381">_xlfn.SWITCH(TRUE,
  $C381&lt;$Q$5,  $D$22,
  $C381&lt;$Q$6,  $D$23,
  $C381&lt;$Q$7,  $D$24,
  $C381&lt;$Q$8,  $D$25,
  $C381&lt;$Q$9,  $D$26,
  $C381&lt;$Q$10,  $D$27,
  $C381&lt;$Q$11,  $D$28,
  $C381&lt;$Q$12,  $D$29,
  $C381&lt;$Q$13,  $D$30,
  $C381&lt;100,  $D$31,
)</f>
        <v>0</v>
      </c>
      <c r="R381" s="244" cm="1">
        <f t="array" ref="R381">_xlfn.SWITCH(TRUE,
  $C381&lt;$Q$5,  $S$41*$C381+$T$41,
  $C381&lt;$Q$6,  $S$42*$C381+$T$42,
  $C381&lt;$Q$7,  $S$43*$C381+$T$43,
  $C381&lt;$Q$8, $S$44*$C381+$T$44,
  $C381&lt;$Q$9, $S$45*$C381+$T$45,
  $C381&lt;$Q$10, $S$46*$C381+$T$46,
  $C381&lt;$Q$11,  $S$47*$C381+$T$47,
  $C381&lt;$Q$12, $S$48*$C381+$T$48,
  $S$49*$C381+$T$49
)</f>
        <v>1.1000000000000001</v>
      </c>
      <c r="S381" cm="1">
        <f t="array" ref="S381">_xlfn.SWITCH(TRUE,
  $C381&lt;$Q$5,  $U$41*$C381+$V$41,
  $C381&lt;$Q$6,  $U$42*$C381+$V$42,
  $C381&lt;$Q$7,  $U$43*$C381+$V$43,
  $C381&lt;$Q$8, $U$44*$C381+$V$44,
  $C381&lt;$Q$9, $U$45*$C381+$V$45,
  $C381&lt;$Q$10, $U$46*$C381+$V$46,
  $C381&lt;$Q$11,  $U$47*$C381+$V$47,
  $C381&lt;$Q$12, $U$48*$C381+$V$48,
  $U$49*$C381+$V$49
)</f>
        <v>3.8</v>
      </c>
    </row>
    <row r="382" spans="2:31">
      <c r="B382">
        <f>'主翼(型紙出力)'!B225</f>
        <v>0</v>
      </c>
      <c r="C382">
        <f>'主翼(型紙出力)'!C225</f>
        <v>0</v>
      </c>
      <c r="D382">
        <f>'主翼(型紙出力)'!E225</f>
        <v>0</v>
      </c>
      <c r="E382">
        <f>'主翼(重量推算)'!CE222</f>
        <v>0</v>
      </c>
      <c r="F382" cm="1">
        <f t="array" ref="F382">_xlfn.SWITCH(TRUE,
  $C382&lt;$Q$5,  $S$22*$C382+$T$22,
  $C382&lt;$Q$6,  $S$23*$C382+$T$23,
  $C382&lt;$Q$7,  $S$24*$C382+$T$24,
  $C382&lt;$Q$8, $S$25*$C382+$T$25,
  $C382&lt;$Q$9, $S$26*$C382+$T$26,
  $C382&lt;$Q$10, $S$27*$C382+$T$27,
  $C382&lt;$Q$11,  $S$28*$C382+$T$28,
  $C382&lt;$Q$12, $S$29*$C382+$T$29,
  $S$30*$C382+$T$30
)</f>
        <v>1.1000000000000001</v>
      </c>
      <c r="G382" cm="1">
        <f t="array" ref="G382">_xlfn.SWITCH(TRUE,
  $C382&lt;$Q$5,  $U$22*$C382+$V$22,
  $C382&lt;$Q$6,  $U$23*$C382+$V$23,
  $C382&lt;$Q$7,  $U$24*$C382+$V$24,
  $C382&lt;$Q$8, $U$25*$C382+$V$25,
  $C382&lt;$Q$9, $U$26*$C382+$V$26,
  $C382&lt;$Q$10, $U$27*$C382+$V$27,
  $C382&lt;$Q$11,  $U$28*$C382+$V$28,
  $C382&lt;$Q$12, $U$29*$C382+$V$29,
  $U$30*$C382+$V$30
)</f>
        <v>3.4</v>
      </c>
      <c r="H382" cm="1">
        <f t="array" ref="H382">_xlfn.LET(
  _xlpm.y,$C382,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2" cm="1">
        <f t="array" ref="I382">_xlfn.LET(
  _xlpm.y,$C382,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2" cm="1">
        <f t="array" ref="J382">_xlfn.LET(
  _xlpm.y,$C382,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2" cm="1">
        <f t="array" ref="K382">_xlfn.LET(
  _xlpm.y,$C382,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2" cm="1">
        <f t="array" ref="L382">_xlfn.LET(
  _xlpm.y,$C382,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2" cm="1">
        <f t="array" ref="M382">_xlfn.SWITCH(TRUE,
  $C382&lt;$Q$5,  $D$22,
  $C382&lt;$Q$6,  $D$23,
  $C382&lt;$Q$7,  $D$24,
  $C382&lt;$Q$8,  $D$25,
  $C382&lt;$Q$9,  $D$26,
  $C382&lt;$Q$10,  $D$27,
  $C382&lt;$Q$11,  $D$28,
  $C382&lt;$Q$12,  $D$29,
  $C382&lt;$Q$13,  $D$30,
  $C382&lt;100,  $D$31,
)</f>
        <v>0</v>
      </c>
      <c r="R382" s="244" cm="1">
        <f t="array" ref="R382">_xlfn.SWITCH(TRUE,
  $C382&lt;$Q$5,  $S$41*$C382+$T$41,
  $C382&lt;$Q$6,  $S$42*$C382+$T$42,
  $C382&lt;$Q$7,  $S$43*$C382+$T$43,
  $C382&lt;$Q$8, $S$44*$C382+$T$44,
  $C382&lt;$Q$9, $S$45*$C382+$T$45,
  $C382&lt;$Q$10, $S$46*$C382+$T$46,
  $C382&lt;$Q$11,  $S$47*$C382+$T$47,
  $C382&lt;$Q$12, $S$48*$C382+$T$48,
  $S$49*$C382+$T$49
)</f>
        <v>1.1000000000000001</v>
      </c>
      <c r="S382" cm="1">
        <f t="array" ref="S382">_xlfn.SWITCH(TRUE,
  $C382&lt;$Q$5,  $U$41*$C382+$V$41,
  $C382&lt;$Q$6,  $U$42*$C382+$V$42,
  $C382&lt;$Q$7,  $U$43*$C382+$V$43,
  $C382&lt;$Q$8, $U$44*$C382+$V$44,
  $C382&lt;$Q$9, $U$45*$C382+$V$45,
  $C382&lt;$Q$10, $U$46*$C382+$V$46,
  $C382&lt;$Q$11,  $U$47*$C382+$V$47,
  $C382&lt;$Q$12, $U$48*$C382+$V$48,
  $U$49*$C382+$V$49
)</f>
        <v>3.8</v>
      </c>
    </row>
    <row r="383" spans="2:31">
      <c r="B383">
        <f>'主翼(型紙出力)'!B226</f>
        <v>0</v>
      </c>
      <c r="C383">
        <f>'主翼(型紙出力)'!C226</f>
        <v>0</v>
      </c>
      <c r="D383">
        <f>'主翼(型紙出力)'!E226</f>
        <v>0</v>
      </c>
      <c r="E383">
        <f>'主翼(重量推算)'!CE223</f>
        <v>0</v>
      </c>
      <c r="F383" cm="1">
        <f t="array" ref="F383">_xlfn.SWITCH(TRUE,
  $C383&lt;$Q$5,  $S$22*$C383+$T$22,
  $C383&lt;$Q$6,  $S$23*$C383+$T$23,
  $C383&lt;$Q$7,  $S$24*$C383+$T$24,
  $C383&lt;$Q$8, $S$25*$C383+$T$25,
  $C383&lt;$Q$9, $S$26*$C383+$T$26,
  $C383&lt;$Q$10, $S$27*$C383+$T$27,
  $C383&lt;$Q$11,  $S$28*$C383+$T$28,
  $C383&lt;$Q$12, $S$29*$C383+$T$29,
  $S$30*$C383+$T$30
)</f>
        <v>1.1000000000000001</v>
      </c>
      <c r="G383" cm="1">
        <f t="array" ref="G383">_xlfn.SWITCH(TRUE,
  $C383&lt;$Q$5,  $U$22*$C383+$V$22,
  $C383&lt;$Q$6,  $U$23*$C383+$V$23,
  $C383&lt;$Q$7,  $U$24*$C383+$V$24,
  $C383&lt;$Q$8, $U$25*$C383+$V$25,
  $C383&lt;$Q$9, $U$26*$C383+$V$26,
  $C383&lt;$Q$10, $U$27*$C383+$V$27,
  $C383&lt;$Q$11,  $U$28*$C383+$V$28,
  $C383&lt;$Q$12, $U$29*$C383+$V$29,
  $U$30*$C383+$V$30
)</f>
        <v>3.4</v>
      </c>
      <c r="H383" cm="1">
        <f t="array" ref="H383">_xlfn.LET(
  _xlpm.y,$C383,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3" cm="1">
        <f t="array" ref="I383">_xlfn.LET(
  _xlpm.y,$C383,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3" cm="1">
        <f t="array" ref="J383">_xlfn.LET(
  _xlpm.y,$C383,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3" cm="1">
        <f t="array" ref="K383">_xlfn.LET(
  _xlpm.y,$C383,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3" cm="1">
        <f t="array" ref="L383">_xlfn.LET(
  _xlpm.y,$C383,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3" cm="1">
        <f t="array" ref="M383">_xlfn.SWITCH(TRUE,
  $C383&lt;$Q$5,  $D$22,
  $C383&lt;$Q$6,  $D$23,
  $C383&lt;$Q$7,  $D$24,
  $C383&lt;$Q$8,  $D$25,
  $C383&lt;$Q$9,  $D$26,
  $C383&lt;$Q$10,  $D$27,
  $C383&lt;$Q$11,  $D$28,
  $C383&lt;$Q$12,  $D$29,
  $C383&lt;$Q$13,  $D$30,
  $C383&lt;100,  $D$31,
)</f>
        <v>0</v>
      </c>
      <c r="R383" s="244" cm="1">
        <f t="array" ref="R383">_xlfn.SWITCH(TRUE,
  $C383&lt;$Q$5,  $S$41*$C383+$T$41,
  $C383&lt;$Q$6,  $S$42*$C383+$T$42,
  $C383&lt;$Q$7,  $S$43*$C383+$T$43,
  $C383&lt;$Q$8, $S$44*$C383+$T$44,
  $C383&lt;$Q$9, $S$45*$C383+$T$45,
  $C383&lt;$Q$10, $S$46*$C383+$T$46,
  $C383&lt;$Q$11,  $S$47*$C383+$T$47,
  $C383&lt;$Q$12, $S$48*$C383+$T$48,
  $S$49*$C383+$T$49
)</f>
        <v>1.1000000000000001</v>
      </c>
      <c r="S383" cm="1">
        <f t="array" ref="S383">_xlfn.SWITCH(TRUE,
  $C383&lt;$Q$5,  $U$41*$C383+$V$41,
  $C383&lt;$Q$6,  $U$42*$C383+$V$42,
  $C383&lt;$Q$7,  $U$43*$C383+$V$43,
  $C383&lt;$Q$8, $U$44*$C383+$V$44,
  $C383&lt;$Q$9, $U$45*$C383+$V$45,
  $C383&lt;$Q$10, $U$46*$C383+$V$46,
  $C383&lt;$Q$11,  $U$47*$C383+$V$47,
  $C383&lt;$Q$12, $U$48*$C383+$V$48,
  $U$49*$C383+$V$49
)</f>
        <v>3.8</v>
      </c>
    </row>
    <row r="384" spans="2:31">
      <c r="B384">
        <f>'主翼(型紙出力)'!B227</f>
        <v>0</v>
      </c>
      <c r="C384">
        <f>'主翼(型紙出力)'!C227</f>
        <v>0</v>
      </c>
      <c r="D384">
        <f>'主翼(型紙出力)'!E227</f>
        <v>0</v>
      </c>
      <c r="E384">
        <f>'主翼(重量推算)'!CE224</f>
        <v>0</v>
      </c>
      <c r="F384" cm="1">
        <f t="array" ref="F384">_xlfn.SWITCH(TRUE,
  $C384&lt;$Q$5,  $S$22*$C384+$T$22,
  $C384&lt;$Q$6,  $S$23*$C384+$T$23,
  $C384&lt;$Q$7,  $S$24*$C384+$T$24,
  $C384&lt;$Q$8, $S$25*$C384+$T$25,
  $C384&lt;$Q$9, $S$26*$C384+$T$26,
  $C384&lt;$Q$10, $S$27*$C384+$T$27,
  $C384&lt;$Q$11,  $S$28*$C384+$T$28,
  $C384&lt;$Q$12, $S$29*$C384+$T$29,
  $S$30*$C384+$T$30
)</f>
        <v>1.1000000000000001</v>
      </c>
      <c r="G384" cm="1">
        <f t="array" ref="G384">_xlfn.SWITCH(TRUE,
  $C384&lt;$Q$5,  $U$22*$C384+$V$22,
  $C384&lt;$Q$6,  $U$23*$C384+$V$23,
  $C384&lt;$Q$7,  $U$24*$C384+$V$24,
  $C384&lt;$Q$8, $U$25*$C384+$V$25,
  $C384&lt;$Q$9, $U$26*$C384+$V$26,
  $C384&lt;$Q$10, $U$27*$C384+$V$27,
  $C384&lt;$Q$11,  $U$28*$C384+$V$28,
  $C384&lt;$Q$12, $U$29*$C384+$V$29,
  $U$30*$C384+$V$30
)</f>
        <v>3.4</v>
      </c>
      <c r="H384" cm="1">
        <f t="array" ref="H384">_xlfn.LET(
  _xlpm.y,$C384,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4" cm="1">
        <f t="array" ref="I384">_xlfn.LET(
  _xlpm.y,$C384,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4" cm="1">
        <f t="array" ref="J384">_xlfn.LET(
  _xlpm.y,$C384,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4" cm="1">
        <f t="array" ref="K384">_xlfn.LET(
  _xlpm.y,$C384,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4" cm="1">
        <f t="array" ref="L384">_xlfn.LET(
  _xlpm.y,$C384,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4" cm="1">
        <f t="array" ref="M384">_xlfn.SWITCH(TRUE,
  $C384&lt;$Q$5,  $D$22,
  $C384&lt;$Q$6,  $D$23,
  $C384&lt;$Q$7,  $D$24,
  $C384&lt;$Q$8,  $D$25,
  $C384&lt;$Q$9,  $D$26,
  $C384&lt;$Q$10,  $D$27,
  $C384&lt;$Q$11,  $D$28,
  $C384&lt;$Q$12,  $D$29,
  $C384&lt;$Q$13,  $D$30,
  $C384&lt;100,  $D$31,
)</f>
        <v>0</v>
      </c>
      <c r="R384" s="244" cm="1">
        <f t="array" ref="R384">_xlfn.SWITCH(TRUE,
  $C384&lt;$Q$5,  $S$41*$C384+$T$41,
  $C384&lt;$Q$6,  $S$42*$C384+$T$42,
  $C384&lt;$Q$7,  $S$43*$C384+$T$43,
  $C384&lt;$Q$8, $S$44*$C384+$T$44,
  $C384&lt;$Q$9, $S$45*$C384+$T$45,
  $C384&lt;$Q$10, $S$46*$C384+$T$46,
  $C384&lt;$Q$11,  $S$47*$C384+$T$47,
  $C384&lt;$Q$12, $S$48*$C384+$T$48,
  $S$49*$C384+$T$49
)</f>
        <v>1.1000000000000001</v>
      </c>
      <c r="S384" cm="1">
        <f t="array" ref="S384">_xlfn.SWITCH(TRUE,
  $C384&lt;$Q$5,  $U$41*$C384+$V$41,
  $C384&lt;$Q$6,  $U$42*$C384+$V$42,
  $C384&lt;$Q$7,  $U$43*$C384+$V$43,
  $C384&lt;$Q$8, $U$44*$C384+$V$44,
  $C384&lt;$Q$9, $U$45*$C384+$V$45,
  $C384&lt;$Q$10, $U$46*$C384+$V$46,
  $C384&lt;$Q$11,  $U$47*$C384+$V$47,
  $C384&lt;$Q$12, $U$48*$C384+$V$48,
  $U$49*$C384+$V$49
)</f>
        <v>3.8</v>
      </c>
    </row>
    <row r="385" spans="2:19">
      <c r="B385">
        <f>'主翼(型紙出力)'!B228</f>
        <v>0</v>
      </c>
      <c r="C385">
        <f>'主翼(型紙出力)'!C228</f>
        <v>0</v>
      </c>
      <c r="D385">
        <f>'主翼(型紙出力)'!E228</f>
        <v>0</v>
      </c>
      <c r="E385">
        <f>'主翼(重量推算)'!CE225</f>
        <v>0</v>
      </c>
      <c r="F385" cm="1">
        <f t="array" ref="F385">_xlfn.SWITCH(TRUE,
  $C385&lt;$Q$5,  $S$22*$C385+$T$22,
  $C385&lt;$Q$6,  $S$23*$C385+$T$23,
  $C385&lt;$Q$7,  $S$24*$C385+$T$24,
  $C385&lt;$Q$8, $S$25*$C385+$T$25,
  $C385&lt;$Q$9, $S$26*$C385+$T$26,
  $C385&lt;$Q$10, $S$27*$C385+$T$27,
  $C385&lt;$Q$11,  $S$28*$C385+$T$28,
  $C385&lt;$Q$12, $S$29*$C385+$T$29,
  $S$30*$C385+$T$30
)</f>
        <v>1.1000000000000001</v>
      </c>
      <c r="G385" cm="1">
        <f t="array" ref="G385">_xlfn.SWITCH(TRUE,
  $C385&lt;$Q$5,  $U$22*$C385+$V$22,
  $C385&lt;$Q$6,  $U$23*$C385+$V$23,
  $C385&lt;$Q$7,  $U$24*$C385+$V$24,
  $C385&lt;$Q$8, $U$25*$C385+$V$25,
  $C385&lt;$Q$9, $U$26*$C385+$V$26,
  $C385&lt;$Q$10, $U$27*$C385+$V$27,
  $C385&lt;$Q$11,  $U$28*$C385+$V$28,
  $C385&lt;$Q$12, $U$29*$C385+$V$29,
  $U$30*$C385+$V$30
)</f>
        <v>3.4</v>
      </c>
      <c r="H385" cm="1">
        <f t="array" ref="H385">_xlfn.LET(
  _xlpm.y,$C385,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5" cm="1">
        <f t="array" ref="I385">_xlfn.LET(
  _xlpm.y,$C385,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5" cm="1">
        <f t="array" ref="J385">_xlfn.LET(
  _xlpm.y,$C385,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5" cm="1">
        <f t="array" ref="K385">_xlfn.LET(
  _xlpm.y,$C385,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5" cm="1">
        <f t="array" ref="L385">_xlfn.LET(
  _xlpm.y,$C385,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5" cm="1">
        <f t="array" ref="M385">_xlfn.SWITCH(TRUE,
  $C385&lt;$Q$5,  $D$22,
  $C385&lt;$Q$6,  $D$23,
  $C385&lt;$Q$7,  $D$24,
  $C385&lt;$Q$8,  $D$25,
  $C385&lt;$Q$9,  $D$26,
  $C385&lt;$Q$10,  $D$27,
  $C385&lt;$Q$11,  $D$28,
  $C385&lt;$Q$12,  $D$29,
  $C385&lt;$Q$13,  $D$30,
  $C385&lt;100,  $D$31,
)</f>
        <v>0</v>
      </c>
      <c r="R385" s="244" cm="1">
        <f t="array" ref="R385">_xlfn.SWITCH(TRUE,
  $C385&lt;$Q$5,  $S$41*$C385+$T$41,
  $C385&lt;$Q$6,  $S$42*$C385+$T$42,
  $C385&lt;$Q$7,  $S$43*$C385+$T$43,
  $C385&lt;$Q$8, $S$44*$C385+$T$44,
  $C385&lt;$Q$9, $S$45*$C385+$T$45,
  $C385&lt;$Q$10, $S$46*$C385+$T$46,
  $C385&lt;$Q$11,  $S$47*$C385+$T$47,
  $C385&lt;$Q$12, $S$48*$C385+$T$48,
  $S$49*$C385+$T$49
)</f>
        <v>1.1000000000000001</v>
      </c>
      <c r="S385" cm="1">
        <f t="array" ref="S385">_xlfn.SWITCH(TRUE,
  $C385&lt;$Q$5,  $U$41*$C385+$V$41,
  $C385&lt;$Q$6,  $U$42*$C385+$V$42,
  $C385&lt;$Q$7,  $U$43*$C385+$V$43,
  $C385&lt;$Q$8, $U$44*$C385+$V$44,
  $C385&lt;$Q$9, $U$45*$C385+$V$45,
  $C385&lt;$Q$10, $U$46*$C385+$V$46,
  $C385&lt;$Q$11,  $U$47*$C385+$V$47,
  $C385&lt;$Q$12, $U$48*$C385+$V$48,
  $U$49*$C385+$V$49
)</f>
        <v>3.8</v>
      </c>
    </row>
    <row r="386" spans="2:19">
      <c r="B386">
        <f>'主翼(型紙出力)'!B229</f>
        <v>0</v>
      </c>
      <c r="C386">
        <f>'主翼(型紙出力)'!C229</f>
        <v>0</v>
      </c>
      <c r="D386">
        <f>'主翼(型紙出力)'!E229</f>
        <v>0</v>
      </c>
      <c r="E386">
        <f>'主翼(重量推算)'!CE226</f>
        <v>0</v>
      </c>
      <c r="F386" cm="1">
        <f t="array" ref="F386">_xlfn.SWITCH(TRUE,
  $C386&lt;$Q$5,  $S$22*$C386+$T$22,
  $C386&lt;$Q$6,  $S$23*$C386+$T$23,
  $C386&lt;$Q$7,  $S$24*$C386+$T$24,
  $C386&lt;$Q$8, $S$25*$C386+$T$25,
  $C386&lt;$Q$9, $S$26*$C386+$T$26,
  $C386&lt;$Q$10, $S$27*$C386+$T$27,
  $C386&lt;$Q$11,  $S$28*$C386+$T$28,
  $C386&lt;$Q$12, $S$29*$C386+$T$29,
  $S$30*$C386+$T$30
)</f>
        <v>1.1000000000000001</v>
      </c>
      <c r="G386" cm="1">
        <f t="array" ref="G386">_xlfn.SWITCH(TRUE,
  $C386&lt;$Q$5,  $U$22*$C386+$V$22,
  $C386&lt;$Q$6,  $U$23*$C386+$V$23,
  $C386&lt;$Q$7,  $U$24*$C386+$V$24,
  $C386&lt;$Q$8, $U$25*$C386+$V$25,
  $C386&lt;$Q$9, $U$26*$C386+$V$26,
  $C386&lt;$Q$10, $U$27*$C386+$V$27,
  $C386&lt;$Q$11,  $U$28*$C386+$V$28,
  $C386&lt;$Q$12, $U$29*$C386+$V$29,
  $U$30*$C386+$V$30
)</f>
        <v>3.4</v>
      </c>
      <c r="H386" cm="1">
        <f t="array" ref="H386">_xlfn.LET(
  _xlpm.y,$C386,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6" cm="1">
        <f t="array" ref="I386">_xlfn.LET(
  _xlpm.y,$C386,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6" cm="1">
        <f t="array" ref="J386">_xlfn.LET(
  _xlpm.y,$C386,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6" cm="1">
        <f t="array" ref="K386">_xlfn.LET(
  _xlpm.y,$C386,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6" cm="1">
        <f t="array" ref="L386">_xlfn.LET(
  _xlpm.y,$C386,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6" cm="1">
        <f t="array" ref="M386">_xlfn.SWITCH(TRUE,
  $C386&lt;$Q$5,  $D$22,
  $C386&lt;$Q$6,  $D$23,
  $C386&lt;$Q$7,  $D$24,
  $C386&lt;$Q$8,  $D$25,
  $C386&lt;$Q$9,  $D$26,
  $C386&lt;$Q$10,  $D$27,
  $C386&lt;$Q$11,  $D$28,
  $C386&lt;$Q$12,  $D$29,
  $C386&lt;$Q$13,  $D$30,
  $C386&lt;100,  $D$31,
)</f>
        <v>0</v>
      </c>
      <c r="R386" s="244" cm="1">
        <f t="array" ref="R386">_xlfn.SWITCH(TRUE,
  $C386&lt;$Q$5,  $S$41*$C386+$T$41,
  $C386&lt;$Q$6,  $S$42*$C386+$T$42,
  $C386&lt;$Q$7,  $S$43*$C386+$T$43,
  $C386&lt;$Q$8, $S$44*$C386+$T$44,
  $C386&lt;$Q$9, $S$45*$C386+$T$45,
  $C386&lt;$Q$10, $S$46*$C386+$T$46,
  $C386&lt;$Q$11,  $S$47*$C386+$T$47,
  $C386&lt;$Q$12, $S$48*$C386+$T$48,
  $S$49*$C386+$T$49
)</f>
        <v>1.1000000000000001</v>
      </c>
      <c r="S386" cm="1">
        <f t="array" ref="S386">_xlfn.SWITCH(TRUE,
  $C386&lt;$Q$5,  $U$41*$C386+$V$41,
  $C386&lt;$Q$6,  $U$42*$C386+$V$42,
  $C386&lt;$Q$7,  $U$43*$C386+$V$43,
  $C386&lt;$Q$8, $U$44*$C386+$V$44,
  $C386&lt;$Q$9, $U$45*$C386+$V$45,
  $C386&lt;$Q$10, $U$46*$C386+$V$46,
  $C386&lt;$Q$11,  $U$47*$C386+$V$47,
  $C386&lt;$Q$12, $U$48*$C386+$V$48,
  $U$49*$C386+$V$49
)</f>
        <v>3.8</v>
      </c>
    </row>
    <row r="387" spans="2:19">
      <c r="B387">
        <f>'主翼(型紙出力)'!B230</f>
        <v>0</v>
      </c>
      <c r="C387">
        <f>'主翼(型紙出力)'!C230</f>
        <v>0</v>
      </c>
      <c r="D387">
        <f>'主翼(型紙出力)'!E230</f>
        <v>0</v>
      </c>
      <c r="E387">
        <f>'主翼(重量推算)'!CE227</f>
        <v>0</v>
      </c>
      <c r="F387" cm="1">
        <f t="array" ref="F387">_xlfn.SWITCH(TRUE,
  $C387&lt;$Q$5,  $S$22*$C387+$T$22,
  $C387&lt;$Q$6,  $S$23*$C387+$T$23,
  $C387&lt;$Q$7,  $S$24*$C387+$T$24,
  $C387&lt;$Q$8, $S$25*$C387+$T$25,
  $C387&lt;$Q$9, $S$26*$C387+$T$26,
  $C387&lt;$Q$10, $S$27*$C387+$T$27,
  $C387&lt;$Q$11,  $S$28*$C387+$T$28,
  $C387&lt;$Q$12, $S$29*$C387+$T$29,
  $S$30*$C387+$T$30
)</f>
        <v>1.1000000000000001</v>
      </c>
      <c r="G387" cm="1">
        <f t="array" ref="G387">_xlfn.SWITCH(TRUE,
  $C387&lt;$Q$5,  $U$22*$C387+$V$22,
  $C387&lt;$Q$6,  $U$23*$C387+$V$23,
  $C387&lt;$Q$7,  $U$24*$C387+$V$24,
  $C387&lt;$Q$8, $U$25*$C387+$V$25,
  $C387&lt;$Q$9, $U$26*$C387+$V$26,
  $C387&lt;$Q$10, $U$27*$C387+$V$27,
  $C387&lt;$Q$11,  $U$28*$C387+$V$28,
  $C387&lt;$Q$12, $U$29*$C387+$V$29,
  $U$30*$C387+$V$30
)</f>
        <v>3.4</v>
      </c>
      <c r="H387" cm="1">
        <f t="array" ref="H387">_xlfn.LET(
  _xlpm.y,$C387,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7" cm="1">
        <f t="array" ref="I387">_xlfn.LET(
  _xlpm.y,$C387,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7" cm="1">
        <f t="array" ref="J387">_xlfn.LET(
  _xlpm.y,$C387,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7" cm="1">
        <f t="array" ref="K387">_xlfn.LET(
  _xlpm.y,$C387,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7" cm="1">
        <f t="array" ref="L387">_xlfn.LET(
  _xlpm.y,$C387,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7" cm="1">
        <f t="array" ref="M387">_xlfn.SWITCH(TRUE,
  $C387&lt;$Q$5,  $D$22,
  $C387&lt;$Q$6,  $D$23,
  $C387&lt;$Q$7,  $D$24,
  $C387&lt;$Q$8,  $D$25,
  $C387&lt;$Q$9,  $D$26,
  $C387&lt;$Q$10,  $D$27,
  $C387&lt;$Q$11,  $D$28,
  $C387&lt;$Q$12,  $D$29,
  $C387&lt;$Q$13,  $D$30,
  $C387&lt;100,  $D$31,
)</f>
        <v>0</v>
      </c>
      <c r="R387" s="244" cm="1">
        <f t="array" ref="R387">_xlfn.SWITCH(TRUE,
  $C387&lt;$Q$5,  $S$41*$C387+$T$41,
  $C387&lt;$Q$6,  $S$42*$C387+$T$42,
  $C387&lt;$Q$7,  $S$43*$C387+$T$43,
  $C387&lt;$Q$8, $S$44*$C387+$T$44,
  $C387&lt;$Q$9, $S$45*$C387+$T$45,
  $C387&lt;$Q$10, $S$46*$C387+$T$46,
  $C387&lt;$Q$11,  $S$47*$C387+$T$47,
  $C387&lt;$Q$12, $S$48*$C387+$T$48,
  $S$49*$C387+$T$49
)</f>
        <v>1.1000000000000001</v>
      </c>
      <c r="S387" cm="1">
        <f t="array" ref="S387">_xlfn.SWITCH(TRUE,
  $C387&lt;$Q$5,  $U$41*$C387+$V$41,
  $C387&lt;$Q$6,  $U$42*$C387+$V$42,
  $C387&lt;$Q$7,  $U$43*$C387+$V$43,
  $C387&lt;$Q$8, $U$44*$C387+$V$44,
  $C387&lt;$Q$9, $U$45*$C387+$V$45,
  $C387&lt;$Q$10, $U$46*$C387+$V$46,
  $C387&lt;$Q$11,  $U$47*$C387+$V$47,
  $C387&lt;$Q$12, $U$48*$C387+$V$48,
  $U$49*$C387+$V$49
)</f>
        <v>3.8</v>
      </c>
    </row>
    <row r="388" spans="2:19">
      <c r="B388">
        <f>'主翼(型紙出力)'!B231</f>
        <v>0</v>
      </c>
      <c r="C388">
        <f>'主翼(型紙出力)'!C231</f>
        <v>0</v>
      </c>
      <c r="D388">
        <f>'主翼(型紙出力)'!E231</f>
        <v>0</v>
      </c>
      <c r="E388">
        <f>'主翼(重量推算)'!CE228</f>
        <v>0</v>
      </c>
      <c r="F388" cm="1">
        <f t="array" ref="F388">_xlfn.SWITCH(TRUE,
  $C388&lt;$Q$5,  $S$22*$C388+$T$22,
  $C388&lt;$Q$6,  $S$23*$C388+$T$23,
  $C388&lt;$Q$7,  $S$24*$C388+$T$24,
  $C388&lt;$Q$8, $S$25*$C388+$T$25,
  $C388&lt;$Q$9, $S$26*$C388+$T$26,
  $C388&lt;$Q$10, $S$27*$C388+$T$27,
  $C388&lt;$Q$11,  $S$28*$C388+$T$28,
  $C388&lt;$Q$12, $S$29*$C388+$T$29,
  $S$30*$C388+$T$30
)</f>
        <v>1.1000000000000001</v>
      </c>
      <c r="G388" cm="1">
        <f t="array" ref="G388">_xlfn.SWITCH(TRUE,
  $C388&lt;$Q$5,  $U$22*$C388+$V$22,
  $C388&lt;$Q$6,  $U$23*$C388+$V$23,
  $C388&lt;$Q$7,  $U$24*$C388+$V$24,
  $C388&lt;$Q$8, $U$25*$C388+$V$25,
  $C388&lt;$Q$9, $U$26*$C388+$V$26,
  $C388&lt;$Q$10, $U$27*$C388+$V$27,
  $C388&lt;$Q$11,  $U$28*$C388+$V$28,
  $C388&lt;$Q$12, $U$29*$C388+$V$29,
  $U$30*$C388+$V$30
)</f>
        <v>3.4</v>
      </c>
      <c r="H388" cm="1">
        <f t="array" ref="H388">_xlfn.LET(
  _xlpm.y,$C388,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8" cm="1">
        <f t="array" ref="I388">_xlfn.LET(
  _xlpm.y,$C388,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8" cm="1">
        <f t="array" ref="J388">_xlfn.LET(
  _xlpm.y,$C388,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8" cm="1">
        <f t="array" ref="K388">_xlfn.LET(
  _xlpm.y,$C388,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8" cm="1">
        <f t="array" ref="L388">_xlfn.LET(
  _xlpm.y,$C388,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8" cm="1">
        <f t="array" ref="M388">_xlfn.SWITCH(TRUE,
  $C388&lt;$Q$5,  $D$22,
  $C388&lt;$Q$6,  $D$23,
  $C388&lt;$Q$7,  $D$24,
  $C388&lt;$Q$8,  $D$25,
  $C388&lt;$Q$9,  $D$26,
  $C388&lt;$Q$10,  $D$27,
  $C388&lt;$Q$11,  $D$28,
  $C388&lt;$Q$12,  $D$29,
  $C388&lt;$Q$13,  $D$30,
  $C388&lt;100,  $D$31,
)</f>
        <v>0</v>
      </c>
      <c r="R388" cm="1">
        <f t="array" ref="R388">_xlfn.SWITCH(TRUE,
  $C388&lt;$Q$5,  $S$41*$C388+$T$41,
  $C388&lt;$Q$6,  $S$42*$C388+$T$42,
  $C388&lt;$Q$7,  $S$43*$C388+$T$43,
  $C388&lt;$Q$8, $S$44*$C388+$T$44,
  $C388&lt;$Q$9, $S$45*$C388+$T$45,
  $C388&lt;$Q$10, $S$46*$C388+$T$46,
  $C388&lt;$Q$11,  $S$47*$C388+$T$47,
  $C388&lt;$Q$12, $S$48*$C388+$T$48,
  $S$49*$C388+$T$49
)</f>
        <v>1.1000000000000001</v>
      </c>
      <c r="S388" cm="1">
        <f t="array" ref="S388">_xlfn.SWITCH(TRUE,
  $C388&lt;$Q$5,  $U$41*$C388+$V$41,
  $C388&lt;$Q$6,  $U$42*$C388+$V$42,
  $C388&lt;$Q$7,  $U$43*$C388+$V$43,
  $C388&lt;$Q$8, $U$44*$C388+$V$44,
  $C388&lt;$Q$9, $U$45*$C388+$V$45,
  $C388&lt;$Q$10, $U$46*$C388+$V$46,
  $C388&lt;$Q$11,  $U$47*$C388+$V$47,
  $C388&lt;$Q$12, $U$48*$C388+$V$48,
  $U$49*$C388+$V$49
)</f>
        <v>3.8</v>
      </c>
    </row>
    <row r="389" spans="2:19">
      <c r="B389">
        <f>'主翼(型紙出力)'!B232</f>
        <v>0</v>
      </c>
      <c r="C389">
        <f>'主翼(型紙出力)'!C232</f>
        <v>0</v>
      </c>
      <c r="D389">
        <f>'主翼(型紙出力)'!E232</f>
        <v>0</v>
      </c>
      <c r="E389">
        <f>'主翼(重量推算)'!CE229</f>
        <v>0</v>
      </c>
      <c r="F389" cm="1">
        <f t="array" ref="F389">_xlfn.SWITCH(TRUE,
  $C389&lt;$Q$5,  $S$22*$C389+$T$22,
  $C389&lt;$Q$6,  $S$23*$C389+$T$23,
  $C389&lt;$Q$7,  $S$24*$C389+$T$24,
  $C389&lt;$Q$8, $S$25*$C389+$T$25,
  $C389&lt;$Q$9, $S$26*$C389+$T$26,
  $C389&lt;$Q$10, $S$27*$C389+$T$27,
  $C389&lt;$Q$11,  $S$28*$C389+$T$28,
  $C389&lt;$Q$12, $S$29*$C389+$T$29,
  $S$30*$C389+$T$30
)</f>
        <v>1.1000000000000001</v>
      </c>
      <c r="G389" cm="1">
        <f t="array" ref="G389">_xlfn.SWITCH(TRUE,
  $C389&lt;$Q$5,  $U$22*$C389+$V$22,
  $C389&lt;$Q$6,  $U$23*$C389+$V$23,
  $C389&lt;$Q$7,  $U$24*$C389+$V$24,
  $C389&lt;$Q$8, $U$25*$C389+$V$25,
  $C389&lt;$Q$9, $U$26*$C389+$V$26,
  $C389&lt;$Q$10, $U$27*$C389+$V$27,
  $C389&lt;$Q$11,  $U$28*$C389+$V$28,
  $C389&lt;$Q$12, $U$29*$C389+$V$29,
  $U$30*$C389+$V$30
)</f>
        <v>3.4</v>
      </c>
      <c r="H389" cm="1">
        <f t="array" ref="H389">_xlfn.LET(
  _xlpm.y,$C389,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9" cm="1">
        <f t="array" ref="I389">_xlfn.LET(
  _xlpm.y,$C389,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9" cm="1">
        <f t="array" ref="J389">_xlfn.LET(
  _xlpm.y,$C389,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9" cm="1">
        <f t="array" ref="K389">_xlfn.LET(
  _xlpm.y,$C389,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9" cm="1">
        <f t="array" ref="L389">_xlfn.LET(
  _xlpm.y,$C389,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9" cm="1">
        <f t="array" ref="M389">_xlfn.SWITCH(TRUE,
  $C389&lt;$Q$5,  $D$22,
  $C389&lt;$Q$6,  $D$23,
  $C389&lt;$Q$7,  $D$24,
  $C389&lt;$Q$8,  $D$25,
  $C389&lt;$Q$9,  $D$26,
  $C389&lt;$Q$10,  $D$27,
  $C389&lt;$Q$11,  $D$28,
  $C389&lt;$Q$12,  $D$29,
  $C389&lt;$Q$13,  $D$30,
  $C389&lt;100,  $D$31,
)</f>
        <v>0</v>
      </c>
      <c r="R389" cm="1">
        <f t="array" ref="R389">_xlfn.SWITCH(TRUE,
  $C389&lt;$Q$5,  $S$41*$C389+$T$41,
  $C389&lt;$Q$6,  $S$42*$C389+$T$42,
  $C389&lt;$Q$7,  $S$43*$C389+$T$43,
  $C389&lt;$Q$8, $S$44*$C389+$T$44,
  $C389&lt;$Q$9, $S$45*$C389+$T$45,
  $C389&lt;$Q$10, $S$46*$C389+$T$46,
  $C389&lt;$Q$11,  $S$47*$C389+$T$47,
  $C389&lt;$Q$12, $S$48*$C389+$T$48,
  $S$49*$C389+$T$49
)</f>
        <v>1.1000000000000001</v>
      </c>
      <c r="S389" cm="1">
        <f t="array" ref="S389">_xlfn.SWITCH(TRUE,
  $C389&lt;$Q$5,  $U$41*$C389+$V$41,
  $C389&lt;$Q$6,  $U$42*$C389+$V$42,
  $C389&lt;$Q$7,  $U$43*$C389+$V$43,
  $C389&lt;$Q$8, $U$44*$C389+$V$44,
  $C389&lt;$Q$9, $U$45*$C389+$V$45,
  $C389&lt;$Q$10, $U$46*$C389+$V$46,
  $C389&lt;$Q$11,  $U$47*$C389+$V$47,
  $C389&lt;$Q$12, $U$48*$C389+$V$48,
  $U$49*$C389+$V$49
)</f>
        <v>3.8</v>
      </c>
    </row>
    <row r="390" spans="2:19">
      <c r="B390">
        <f>'主翼(型紙出力)'!B233</f>
        <v>0</v>
      </c>
      <c r="C390">
        <f>'主翼(型紙出力)'!C233</f>
        <v>0</v>
      </c>
      <c r="D390">
        <f>'主翼(型紙出力)'!E233</f>
        <v>0</v>
      </c>
      <c r="E390">
        <f>'主翼(重量推算)'!CE230</f>
        <v>0</v>
      </c>
      <c r="F390" cm="1">
        <f t="array" ref="F390">_xlfn.SWITCH(TRUE,
  $C390&lt;$Q$5,  $S$22*$C390+$T$22,
  $C390&lt;$Q$6,  $S$23*$C390+$T$23,
  $C390&lt;$Q$7,  $S$24*$C390+$T$24,
  $C390&lt;$Q$8, $S$25*$C390+$T$25,
  $C390&lt;$Q$9, $S$26*$C390+$T$26,
  $C390&lt;$Q$10, $S$27*$C390+$T$27,
  $C390&lt;$Q$11,  $S$28*$C390+$T$28,
  $C390&lt;$Q$12, $S$29*$C390+$T$29,
  $S$30*$C390+$T$30
)</f>
        <v>1.1000000000000001</v>
      </c>
      <c r="G390" cm="1">
        <f t="array" ref="G390">_xlfn.SWITCH(TRUE,
  $C390&lt;$Q$5,  $U$22*$C390+$V$22,
  $C390&lt;$Q$6,  $U$23*$C390+$V$23,
  $C390&lt;$Q$7,  $U$24*$C390+$V$24,
  $C390&lt;$Q$8, $U$25*$C390+$V$25,
  $C390&lt;$Q$9, $U$26*$C390+$V$26,
  $C390&lt;$Q$10, $U$27*$C390+$V$27,
  $C390&lt;$Q$11,  $U$28*$C390+$V$28,
  $C390&lt;$Q$12, $U$29*$C390+$V$29,
  $U$30*$C390+$V$30
)</f>
        <v>3.4</v>
      </c>
      <c r="H390" cm="1">
        <f t="array" ref="H390">_xlfn.LET(
  _xlpm.y,$C390,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0" cm="1">
        <f t="array" ref="I390">_xlfn.LET(
  _xlpm.y,$C390,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0" cm="1">
        <f t="array" ref="J390">_xlfn.LET(
  _xlpm.y,$C390,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0" cm="1">
        <f t="array" ref="K390">_xlfn.LET(
  _xlpm.y,$C390,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0" cm="1">
        <f t="array" ref="L390">_xlfn.LET(
  _xlpm.y,$C390,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0" cm="1">
        <f t="array" ref="M390">_xlfn.SWITCH(TRUE,
  $C390&lt;$Q$5,  $D$22,
  $C390&lt;$Q$6,  $D$23,
  $C390&lt;$Q$7,  $D$24,
  $C390&lt;$Q$8,  $D$25,
  $C390&lt;$Q$9,  $D$26,
  $C390&lt;$Q$10,  $D$27,
  $C390&lt;$Q$11,  $D$28,
  $C390&lt;$Q$12,  $D$29,
  $C390&lt;$Q$13,  $D$30,
  $C390&lt;100,  $D$31,
)</f>
        <v>0</v>
      </c>
      <c r="R390" cm="1">
        <f t="array" ref="R390">_xlfn.SWITCH(TRUE,
  $C390&lt;$Q$5,  $S$41*$C390+$T$41,
  $C390&lt;$Q$6,  $S$42*$C390+$T$42,
  $C390&lt;$Q$7,  $S$43*$C390+$T$43,
  $C390&lt;$Q$8, $S$44*$C390+$T$44,
  $C390&lt;$Q$9, $S$45*$C390+$T$45,
  $C390&lt;$Q$10, $S$46*$C390+$T$46,
  $C390&lt;$Q$11,  $S$47*$C390+$T$47,
  $C390&lt;$Q$12, $S$48*$C390+$T$48,
  $S$49*$C390+$T$49
)</f>
        <v>1.1000000000000001</v>
      </c>
      <c r="S390" cm="1">
        <f t="array" ref="S390">_xlfn.SWITCH(TRUE,
  $C390&lt;$Q$5,  $U$41*$C390+$V$41,
  $C390&lt;$Q$6,  $U$42*$C390+$V$42,
  $C390&lt;$Q$7,  $U$43*$C390+$V$43,
  $C390&lt;$Q$8, $U$44*$C390+$V$44,
  $C390&lt;$Q$9, $U$45*$C390+$V$45,
  $C390&lt;$Q$10, $U$46*$C390+$V$46,
  $C390&lt;$Q$11,  $U$47*$C390+$V$47,
  $C390&lt;$Q$12, $U$48*$C390+$V$48,
  $U$49*$C390+$V$49
)</f>
        <v>3.8</v>
      </c>
    </row>
    <row r="391" spans="2:19">
      <c r="B391">
        <f>'主翼(型紙出力)'!B234</f>
        <v>0</v>
      </c>
      <c r="C391">
        <f>'主翼(型紙出力)'!C234</f>
        <v>0</v>
      </c>
      <c r="D391">
        <f>'主翼(型紙出力)'!E234</f>
        <v>0</v>
      </c>
      <c r="E391">
        <f>'主翼(重量推算)'!CE231</f>
        <v>0</v>
      </c>
      <c r="F391" cm="1">
        <f t="array" ref="F391">_xlfn.SWITCH(TRUE,
  $C391&lt;$Q$5,  $S$22*$C391+$T$22,
  $C391&lt;$Q$6,  $S$23*$C391+$T$23,
  $C391&lt;$Q$7,  $S$24*$C391+$T$24,
  $C391&lt;$Q$8, $S$25*$C391+$T$25,
  $C391&lt;$Q$9, $S$26*$C391+$T$26,
  $C391&lt;$Q$10, $S$27*$C391+$T$27,
  $C391&lt;$Q$11,  $S$28*$C391+$T$28,
  $C391&lt;$Q$12, $S$29*$C391+$T$29,
  $S$30*$C391+$T$30
)</f>
        <v>1.1000000000000001</v>
      </c>
      <c r="G391" cm="1">
        <f t="array" ref="G391">_xlfn.SWITCH(TRUE,
  $C391&lt;$Q$5,  $U$22*$C391+$V$22,
  $C391&lt;$Q$6,  $U$23*$C391+$V$23,
  $C391&lt;$Q$7,  $U$24*$C391+$V$24,
  $C391&lt;$Q$8, $U$25*$C391+$V$25,
  $C391&lt;$Q$9, $U$26*$C391+$V$26,
  $C391&lt;$Q$10, $U$27*$C391+$V$27,
  $C391&lt;$Q$11,  $U$28*$C391+$V$28,
  $C391&lt;$Q$12, $U$29*$C391+$V$29,
  $U$30*$C391+$V$30
)</f>
        <v>3.4</v>
      </c>
      <c r="H391" cm="1">
        <f t="array" ref="H391">_xlfn.LET(
  _xlpm.y,$C391,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1" cm="1">
        <f t="array" ref="I391">_xlfn.LET(
  _xlpm.y,$C391,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1" cm="1">
        <f t="array" ref="J391">_xlfn.LET(
  _xlpm.y,$C391,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1" cm="1">
        <f t="array" ref="K391">_xlfn.LET(
  _xlpm.y,$C391,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1" cm="1">
        <f t="array" ref="L391">_xlfn.LET(
  _xlpm.y,$C391,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1" cm="1">
        <f t="array" ref="M391">_xlfn.SWITCH(TRUE,
  $C391&lt;$Q$5,  $D$22,
  $C391&lt;$Q$6,  $D$23,
  $C391&lt;$Q$7,  $D$24,
  $C391&lt;$Q$8,  $D$25,
  $C391&lt;$Q$9,  $D$26,
  $C391&lt;$Q$10,  $D$27,
  $C391&lt;$Q$11,  $D$28,
  $C391&lt;$Q$12,  $D$29,
  $C391&lt;$Q$13,  $D$30,
  $C391&lt;100,  $D$31,
)</f>
        <v>0</v>
      </c>
      <c r="S391" cm="1">
        <f t="array" ref="S391">_xlfn.SWITCH(TRUE,
  $C391&lt;$Q$5,  $U$41*$C391+$V$41,
  $C391&lt;$Q$6,  $U$42*$C391+$V$42,
  $C391&lt;$Q$7,  $U$43*$C391+$V$43,
  $C391&lt;$Q$8, $U$44*$C391+$V$44,
  $C391&lt;$Q$9, $U$45*$C391+$V$45,
  $C391&lt;$Q$10, $U$46*$C391+$V$46,
  $C391&lt;$Q$11,  $U$47*$C391+$V$47,
  $C391&lt;$Q$12, $U$48*$C391+$V$48,
  $U$49*$C391+$V$49
)</f>
        <v>3.8</v>
      </c>
    </row>
    <row r="392" spans="2:19">
      <c r="B392">
        <f>'主翼(型紙出力)'!B235</f>
        <v>0</v>
      </c>
      <c r="C392">
        <f>'主翼(型紙出力)'!C235</f>
        <v>0</v>
      </c>
      <c r="D392">
        <f>'主翼(型紙出力)'!E235</f>
        <v>0</v>
      </c>
      <c r="E392">
        <f>'主翼(重量推算)'!CE232</f>
        <v>0</v>
      </c>
      <c r="F392" cm="1">
        <f t="array" ref="F392">_xlfn.SWITCH(TRUE,
  $C392&lt;$Q$5,  $S$22*$C392+$T$22,
  $C392&lt;$Q$6,  $S$23*$C392+$T$23,
  $C392&lt;$Q$7,  $S$24*$C392+$T$24,
  $C392&lt;$Q$8, $S$25*$C392+$T$25,
  $C392&lt;$Q$9, $S$26*$C392+$T$26,
  $C392&lt;$Q$10, $S$27*$C392+$T$27,
  $C392&lt;$Q$11,  $S$28*$C392+$T$28,
  $C392&lt;$Q$12, $S$29*$C392+$T$29,
  $S$30*$C392+$T$30
)</f>
        <v>1.1000000000000001</v>
      </c>
      <c r="G392" cm="1">
        <f t="array" ref="G392">_xlfn.SWITCH(TRUE,
  $C392&lt;$Q$5,  $U$22*$C392+$V$22,
  $C392&lt;$Q$6,  $U$23*$C392+$V$23,
  $C392&lt;$Q$7,  $U$24*$C392+$V$24,
  $C392&lt;$Q$8, $U$25*$C392+$V$25,
  $C392&lt;$Q$9, $U$26*$C392+$V$26,
  $C392&lt;$Q$10, $U$27*$C392+$V$27,
  $C392&lt;$Q$11,  $U$28*$C392+$V$28,
  $C392&lt;$Q$12, $U$29*$C392+$V$29,
  $U$30*$C392+$V$30
)</f>
        <v>3.4</v>
      </c>
      <c r="H392" cm="1">
        <f t="array" ref="H392">_xlfn.LET(
  _xlpm.y,$C392,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2" cm="1">
        <f t="array" ref="I392">_xlfn.LET(
  _xlpm.y,$C392,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2" cm="1">
        <f t="array" ref="J392">_xlfn.LET(
  _xlpm.y,$C392,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2" cm="1">
        <f t="array" ref="K392">_xlfn.LET(
  _xlpm.y,$C392,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2" cm="1">
        <f t="array" ref="L392">_xlfn.LET(
  _xlpm.y,$C392,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2" cm="1">
        <f t="array" ref="M392">_xlfn.SWITCH(TRUE,
  $C392&lt;$Q$5,  $D$22,
  $C392&lt;$Q$6,  $D$23,
  $C392&lt;$Q$7,  $D$24,
  $C392&lt;$Q$8,  $D$25,
  $C392&lt;$Q$9,  $D$26,
  $C392&lt;$Q$10,  $D$27,
  $C392&lt;$Q$11,  $D$28,
  $C392&lt;$Q$12,  $D$29,
  $C392&lt;$Q$13,  $D$30,
  $C392&lt;100,  $D$31,
)</f>
        <v>0</v>
      </c>
      <c r="S392" cm="1">
        <f t="array" ref="S392">_xlfn.SWITCH(TRUE,
  $C392&lt;$Q$5,  $U$41*$C392+$V$41,
  $C392&lt;$Q$6,  $U$42*$C392+$V$42,
  $C392&lt;$Q$7,  $U$43*$C392+$V$43,
  $C392&lt;$Q$8, $U$44*$C392+$V$44,
  $C392&lt;$Q$9, $U$45*$C392+$V$45,
  $C392&lt;$Q$10, $U$46*$C392+$V$46,
  $C392&lt;$Q$11,  $U$47*$C392+$V$47,
  $C392&lt;$Q$12, $U$48*$C392+$V$48,
  $U$49*$C392+$V$49
)</f>
        <v>3.8</v>
      </c>
    </row>
    <row r="393" spans="2:19">
      <c r="B393">
        <f>'主翼(型紙出力)'!B236</f>
        <v>0</v>
      </c>
      <c r="C393">
        <f>'主翼(型紙出力)'!C236</f>
        <v>0</v>
      </c>
      <c r="D393">
        <f>'主翼(型紙出力)'!E236</f>
        <v>0</v>
      </c>
      <c r="E393">
        <f>'主翼(重量推算)'!CE233</f>
        <v>0</v>
      </c>
      <c r="F393" cm="1">
        <f t="array" ref="F393">_xlfn.SWITCH(TRUE,
  $C393&lt;$Q$5,  $S$22*$C393+$T$22,
  $C393&lt;$Q$6,  $S$23*$C393+$T$23,
  $C393&lt;$Q$7,  $S$24*$C393+$T$24,
  $C393&lt;$Q$8, $S$25*$C393+$T$25,
  $C393&lt;$Q$9, $S$26*$C393+$T$26,
  $C393&lt;$Q$10, $S$27*$C393+$T$27,
  $C393&lt;$Q$11,  $S$28*$C393+$T$28,
  $C393&lt;$Q$12, $S$29*$C393+$T$29,
  $S$30*$C393+$T$30
)</f>
        <v>1.1000000000000001</v>
      </c>
      <c r="G393" cm="1">
        <f t="array" ref="G393">_xlfn.SWITCH(TRUE,
  $C393&lt;$Q$5,  $U$22*$C393+$V$22,
  $C393&lt;$Q$6,  $U$23*$C393+$V$23,
  $C393&lt;$Q$7,  $U$24*$C393+$V$24,
  $C393&lt;$Q$8, $U$25*$C393+$V$25,
  $C393&lt;$Q$9, $U$26*$C393+$V$26,
  $C393&lt;$Q$10, $U$27*$C393+$V$27,
  $C393&lt;$Q$11,  $U$28*$C393+$V$28,
  $C393&lt;$Q$12, $U$29*$C393+$V$29,
  $U$30*$C393+$V$30
)</f>
        <v>3.4</v>
      </c>
      <c r="H393" cm="1">
        <f t="array" ref="H393">_xlfn.LET(
  _xlpm.y,$C393,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3" cm="1">
        <f t="array" ref="I393">_xlfn.LET(
  _xlpm.y,$C393,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3" cm="1">
        <f t="array" ref="J393">_xlfn.LET(
  _xlpm.y,$C393,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3" cm="1">
        <f t="array" ref="K393">_xlfn.LET(
  _xlpm.y,$C393,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3" cm="1">
        <f t="array" ref="L393">_xlfn.LET(
  _xlpm.y,$C393,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3" cm="1">
        <f t="array" ref="M393">_xlfn.SWITCH(TRUE,
  $C393&lt;$Q$5,  $D$22,
  $C393&lt;$Q$6,  $D$23,
  $C393&lt;$Q$7,  $D$24,
  $C393&lt;$Q$8,  $D$25,
  $C393&lt;$Q$9,  $D$26,
  $C393&lt;$Q$10,  $D$27,
  $C393&lt;$Q$11,  $D$28,
  $C393&lt;$Q$12,  $D$29,
  $C393&lt;$Q$13,  $D$30,
  $C393&lt;100,  $D$31,
)</f>
        <v>0</v>
      </c>
      <c r="S393" cm="1">
        <f t="array" ref="S393">_xlfn.SWITCH(TRUE,
  $C393&lt;$Q$5,  $U$41*$C393+$V$41,
  $C393&lt;$Q$6,  $U$42*$C393+$V$42,
  $C393&lt;$Q$7,  $U$43*$C393+$V$43,
  $C393&lt;$Q$8, $U$44*$C393+$V$44,
  $C393&lt;$Q$9, $U$45*$C393+$V$45,
  $C393&lt;$Q$10, $U$46*$C393+$V$46,
  $C393&lt;$Q$11,  $U$47*$C393+$V$47,
  $C393&lt;$Q$12, $U$48*$C393+$V$48,
  $U$49*$C393+$V$49
)</f>
        <v>3.8</v>
      </c>
    </row>
    <row r="394" spans="2:19">
      <c r="B394">
        <f>'主翼(型紙出力)'!B237</f>
        <v>0</v>
      </c>
      <c r="C394">
        <f>'主翼(型紙出力)'!C237</f>
        <v>0</v>
      </c>
      <c r="D394">
        <f>'主翼(型紙出力)'!E237</f>
        <v>0</v>
      </c>
      <c r="E394">
        <f>'主翼(重量推算)'!CE234</f>
        <v>0</v>
      </c>
      <c r="F394" cm="1">
        <f t="array" ref="F394">_xlfn.SWITCH(TRUE,
  $C394&lt;$Q$5,  $S$22*$C394+$T$22,
  $C394&lt;$Q$6,  $S$23*$C394+$T$23,
  $C394&lt;$Q$7,  $S$24*$C394+$T$24,
  $C394&lt;$Q$8, $S$25*$C394+$T$25,
  $C394&lt;$Q$9, $S$26*$C394+$T$26,
  $C394&lt;$Q$10, $S$27*$C394+$T$27,
  $C394&lt;$Q$11,  $S$28*$C394+$T$28,
  $C394&lt;$Q$12, $S$29*$C394+$T$29,
  $S$30*$C394+$T$30
)</f>
        <v>1.1000000000000001</v>
      </c>
      <c r="G394" cm="1">
        <f t="array" ref="G394">_xlfn.SWITCH(TRUE,
  $C394&lt;$Q$5,  $U$22*$C394+$V$22,
  $C394&lt;$Q$6,  $U$23*$C394+$V$23,
  $C394&lt;$Q$7,  $U$24*$C394+$V$24,
  $C394&lt;$Q$8, $U$25*$C394+$V$25,
  $C394&lt;$Q$9, $U$26*$C394+$V$26,
  $C394&lt;$Q$10, $U$27*$C394+$V$27,
  $C394&lt;$Q$11,  $U$28*$C394+$V$28,
  $C394&lt;$Q$12, $U$29*$C394+$V$29,
  $U$30*$C394+$V$30
)</f>
        <v>3.4</v>
      </c>
      <c r="H394" cm="1">
        <f t="array" ref="H394">_xlfn.LET(
  _xlpm.y,$C394,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4" cm="1">
        <f t="array" ref="I394">_xlfn.LET(
  _xlpm.y,$C394,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4" cm="1">
        <f t="array" ref="J394">_xlfn.LET(
  _xlpm.y,$C394,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4" cm="1">
        <f t="array" ref="K394">_xlfn.LET(
  _xlpm.y,$C394,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4" cm="1">
        <f t="array" ref="L394">_xlfn.LET(
  _xlpm.y,$C394,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4" cm="1">
        <f t="array" ref="M394">_xlfn.SWITCH(TRUE,
  $C394&lt;$Q$5,  $D$22,
  $C394&lt;$Q$6,  $D$23,
  $C394&lt;$Q$7,  $D$24,
  $C394&lt;$Q$8,  $D$25,
  $C394&lt;$Q$9,  $D$26,
  $C394&lt;$Q$10,  $D$27,
  $C394&lt;$Q$11,  $D$28,
  $C394&lt;$Q$12,  $D$29,
  $C394&lt;$Q$13,  $D$30,
  $C394&lt;100,  $D$31,
)</f>
        <v>0</v>
      </c>
      <c r="S394" cm="1">
        <f t="array" ref="S394">_xlfn.SWITCH(TRUE,
  $C394&lt;$Q$5,  $U$41*$C394+$V$41,
  $C394&lt;$Q$6,  $U$42*$C394+$V$42,
  $C394&lt;$Q$7,  $U$43*$C394+$V$43,
  $C394&lt;$Q$8, $U$44*$C394+$V$44,
  $C394&lt;$Q$9, $U$45*$C394+$V$45,
  $C394&lt;$Q$10, $U$46*$C394+$V$46,
  $C394&lt;$Q$11,  $U$47*$C394+$V$47,
  $C394&lt;$Q$12, $U$48*$C394+$V$48,
  $U$49*$C394+$V$49
)</f>
        <v>3.8</v>
      </c>
    </row>
    <row r="395" spans="2:19">
      <c r="B395">
        <f>'主翼(型紙出力)'!B238</f>
        <v>0</v>
      </c>
      <c r="C395">
        <f>'主翼(型紙出力)'!C238</f>
        <v>0</v>
      </c>
      <c r="D395">
        <f>'主翼(型紙出力)'!E238</f>
        <v>0</v>
      </c>
      <c r="E395">
        <f>'主翼(重量推算)'!CE235</f>
        <v>0</v>
      </c>
      <c r="F395" cm="1">
        <f t="array" ref="F395">_xlfn.SWITCH(TRUE,
  $C395&lt;$Q$5,  $S$22*$C395+$T$22,
  $C395&lt;$Q$6,  $S$23*$C395+$T$23,
  $C395&lt;$Q$7,  $S$24*$C395+$T$24,
  $C395&lt;$Q$8, $S$25*$C395+$T$25,
  $C395&lt;$Q$9, $S$26*$C395+$T$26,
  $C395&lt;$Q$10, $S$27*$C395+$T$27,
  $C395&lt;$Q$11,  $S$28*$C395+$T$28,
  $C395&lt;$Q$12, $S$29*$C395+$T$29,
  $S$30*$C395+$T$30
)</f>
        <v>1.1000000000000001</v>
      </c>
      <c r="G395" cm="1">
        <f t="array" ref="G395">_xlfn.SWITCH(TRUE,
  $C395&lt;$Q$5,  $U$22*$C395+$V$22,
  $C395&lt;$Q$6,  $U$23*$C395+$V$23,
  $C395&lt;$Q$7,  $U$24*$C395+$V$24,
  $C395&lt;$Q$8, $U$25*$C395+$V$25,
  $C395&lt;$Q$9, $U$26*$C395+$V$26,
  $C395&lt;$Q$10, $U$27*$C395+$V$27,
  $C395&lt;$Q$11,  $U$28*$C395+$V$28,
  $C395&lt;$Q$12, $U$29*$C395+$V$29,
  $U$30*$C395+$V$30
)</f>
        <v>3.4</v>
      </c>
      <c r="H395" cm="1">
        <f t="array" ref="H395">_xlfn.LET(
  _xlpm.y,$C395,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5" cm="1">
        <f t="array" ref="I395">_xlfn.LET(
  _xlpm.y,$C395,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5" cm="1">
        <f t="array" ref="J395">_xlfn.LET(
  _xlpm.y,$C395,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5" cm="1">
        <f t="array" ref="K395">_xlfn.LET(
  _xlpm.y,$C395,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5" cm="1">
        <f t="array" ref="L395">_xlfn.LET(
  _xlpm.y,$C395,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5" cm="1">
        <f t="array" ref="M395">_xlfn.SWITCH(TRUE,
  $C395&lt;$Q$5,  $D$22,
  $C395&lt;$Q$6,  $D$23,
  $C395&lt;$Q$7,  $D$24,
  $C395&lt;$Q$8,  $D$25,
  $C395&lt;$Q$9,  $D$26,
  $C395&lt;$Q$10,  $D$27,
  $C395&lt;$Q$11,  $D$28,
  $C395&lt;$Q$12,  $D$29,
  $C395&lt;$Q$13,  $D$30,
  $C395&lt;100,  $D$31,
)</f>
        <v>0</v>
      </c>
      <c r="S395" cm="1">
        <f t="array" ref="S395">_xlfn.SWITCH(TRUE,
  $C395&lt;$Q$5,  $U$41*$C395+$V$41,
  $C395&lt;$Q$6,  $U$42*$C395+$V$42,
  $C395&lt;$Q$7,  $U$43*$C395+$V$43,
  $C395&lt;$Q$8, $U$44*$C395+$V$44,
  $C395&lt;$Q$9, $U$45*$C395+$V$45,
  $C395&lt;$Q$10, $U$46*$C395+$V$46,
  $C395&lt;$Q$11,  $U$47*$C395+$V$47,
  $C395&lt;$Q$12, $U$48*$C395+$V$48,
  $U$49*$C395+$V$49
)</f>
        <v>3.8</v>
      </c>
    </row>
    <row r="396" spans="2:19">
      <c r="B396">
        <f>'主翼(型紙出力)'!B239</f>
        <v>0</v>
      </c>
      <c r="C396">
        <f>'主翼(型紙出力)'!C239</f>
        <v>0</v>
      </c>
      <c r="D396">
        <f>'主翼(型紙出力)'!E239</f>
        <v>0</v>
      </c>
      <c r="E396">
        <f>'主翼(重量推算)'!CE236</f>
        <v>0</v>
      </c>
      <c r="F396" cm="1">
        <f t="array" ref="F396">_xlfn.SWITCH(TRUE,
  $C396&lt;$Q$5,  $S$22*$C396+$T$22,
  $C396&lt;$Q$6,  $S$23*$C396+$T$23,
  $C396&lt;$Q$7,  $S$24*$C396+$T$24,
  $C396&lt;$Q$8, $S$25*$C396+$T$25,
  $C396&lt;$Q$9, $S$26*$C396+$T$26,
  $C396&lt;$Q$10, $S$27*$C396+$T$27,
  $C396&lt;$Q$11,  $S$28*$C396+$T$28,
  $C396&lt;$Q$12, $S$29*$C396+$T$29,
  $S$30*$C396+$T$30
)</f>
        <v>1.1000000000000001</v>
      </c>
      <c r="G396" cm="1">
        <f t="array" ref="G396">_xlfn.SWITCH(TRUE,
  $C396&lt;$Q$5,  $U$22*$C396+$V$22,
  $C396&lt;$Q$6,  $U$23*$C396+$V$23,
  $C396&lt;$Q$7,  $U$24*$C396+$V$24,
  $C396&lt;$Q$8, $U$25*$C396+$V$25,
  $C396&lt;$Q$9, $U$26*$C396+$V$26,
  $C396&lt;$Q$10, $U$27*$C396+$V$27,
  $C396&lt;$Q$11,  $U$28*$C396+$V$28,
  $C396&lt;$Q$12, $U$29*$C396+$V$29,
  $U$30*$C396+$V$30
)</f>
        <v>3.4</v>
      </c>
      <c r="H396" cm="1">
        <f t="array" ref="H396">_xlfn.LET(
  _xlpm.y,$C396,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6" cm="1">
        <f t="array" ref="I396">_xlfn.LET(
  _xlpm.y,$C396,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6" cm="1">
        <f t="array" ref="J396">_xlfn.LET(
  _xlpm.y,$C396,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6" cm="1">
        <f t="array" ref="K396">_xlfn.LET(
  _xlpm.y,$C396,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6" cm="1">
        <f t="array" ref="L396">_xlfn.LET(
  _xlpm.y,$C396,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6" cm="1">
        <f t="array" ref="M396">_xlfn.SWITCH(TRUE,
  $C396&lt;$Q$5,  $D$22,
  $C396&lt;$Q$6,  $D$23,
  $C396&lt;$Q$7,  $D$24,
  $C396&lt;$Q$8,  $D$25,
  $C396&lt;$Q$9,  $D$26,
  $C396&lt;$Q$10,  $D$27,
  $C396&lt;$Q$11,  $D$28,
  $C396&lt;$Q$12,  $D$29,
  $C396&lt;$Q$13,  $D$30,
  $C396&lt;100,  $D$31,
)</f>
        <v>0</v>
      </c>
      <c r="S396" cm="1">
        <f t="array" ref="S396">_xlfn.SWITCH(TRUE,
  $C396&lt;$Q$5,  $U$41*$C396+$V$41,
  $C396&lt;$Q$6,  $U$42*$C396+$V$42,
  $C396&lt;$Q$7,  $U$43*$C396+$V$43,
  $C396&lt;$Q$8, $U$44*$C396+$V$44,
  $C396&lt;$Q$9, $U$45*$C396+$V$45,
  $C396&lt;$Q$10, $U$46*$C396+$V$46,
  $C396&lt;$Q$11,  $U$47*$C396+$V$47,
  $C396&lt;$Q$12, $U$48*$C396+$V$48,
  $U$49*$C396+$V$49
)</f>
        <v>3.8</v>
      </c>
    </row>
    <row r="397" spans="2:19">
      <c r="B397">
        <f>'主翼(型紙出力)'!B240</f>
        <v>0</v>
      </c>
      <c r="C397">
        <f>'主翼(型紙出力)'!C240</f>
        <v>0</v>
      </c>
      <c r="D397">
        <f>'主翼(型紙出力)'!E240</f>
        <v>0</v>
      </c>
      <c r="E397">
        <f>'主翼(重量推算)'!CE237</f>
        <v>0</v>
      </c>
      <c r="F397" cm="1">
        <f t="array" ref="F397">_xlfn.SWITCH(TRUE,
  $C397&lt;$Q$5,  $S$22*$C397+$T$22,
  $C397&lt;$Q$6,  $S$23*$C397+$T$23,
  $C397&lt;$Q$7,  $S$24*$C397+$T$24,
  $C397&lt;$Q$8, $S$25*$C397+$T$25,
  $C397&lt;$Q$9, $S$26*$C397+$T$26,
  $C397&lt;$Q$10, $S$27*$C397+$T$27,
  $C397&lt;$Q$11,  $S$28*$C397+$T$28,
  $C397&lt;$Q$12, $S$29*$C397+$T$29,
  $S$30*$C397+$T$30
)</f>
        <v>1.1000000000000001</v>
      </c>
      <c r="G397" cm="1">
        <f t="array" ref="G397">_xlfn.SWITCH(TRUE,
  $C397&lt;$Q$5,  $U$22*$C397+$V$22,
  $C397&lt;$Q$6,  $U$23*$C397+$V$23,
  $C397&lt;$Q$7,  $U$24*$C397+$V$24,
  $C397&lt;$Q$8, $U$25*$C397+$V$25,
  $C397&lt;$Q$9, $U$26*$C397+$V$26,
  $C397&lt;$Q$10, $U$27*$C397+$V$27,
  $C397&lt;$Q$11,  $U$28*$C397+$V$28,
  $C397&lt;$Q$12, $U$29*$C397+$V$29,
  $U$30*$C397+$V$30
)</f>
        <v>3.4</v>
      </c>
      <c r="H397" cm="1">
        <f t="array" ref="H397">_xlfn.LET(
  _xlpm.y,$C397,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7" cm="1">
        <f t="array" ref="I397">_xlfn.LET(
  _xlpm.y,$C397,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7" cm="1">
        <f t="array" ref="J397">_xlfn.LET(
  _xlpm.y,$C397,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7" cm="1">
        <f t="array" ref="K397">_xlfn.LET(
  _xlpm.y,$C397,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7" cm="1">
        <f t="array" ref="L397">_xlfn.LET(
  _xlpm.y,$C397,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7" cm="1">
        <f t="array" ref="M397">_xlfn.SWITCH(TRUE,
  $C397&lt;$Q$5,  $D$22,
  $C397&lt;$Q$6,  $D$23,
  $C397&lt;$Q$7,  $D$24,
  $C397&lt;$Q$8,  $D$25,
  $C397&lt;$Q$9,  $D$26,
  $C397&lt;$Q$10,  $D$27,
  $C397&lt;$Q$11,  $D$28,
  $C397&lt;$Q$12,  $D$29,
  $C397&lt;$Q$13,  $D$30,
  $C397&lt;100,  $D$31,
)</f>
        <v>0</v>
      </c>
      <c r="S397" cm="1">
        <f t="array" ref="S397">_xlfn.SWITCH(TRUE,
  $C397&lt;$Q$5,  $U$41*$C397+$V$41,
  $C397&lt;$Q$6,  $U$42*$C397+$V$42,
  $C397&lt;$Q$7,  $U$43*$C397+$V$43,
  $C397&lt;$Q$8, $U$44*$C397+$V$44,
  $C397&lt;$Q$9, $U$45*$C397+$V$45,
  $C397&lt;$Q$10, $U$46*$C397+$V$46,
  $C397&lt;$Q$11,  $U$47*$C397+$V$47,
  $C397&lt;$Q$12, $U$48*$C397+$V$48,
  $U$49*$C397+$V$49
)</f>
        <v>3.8</v>
      </c>
    </row>
    <row r="398" spans="2:19">
      <c r="B398">
        <f>'主翼(型紙出力)'!B241</f>
        <v>0</v>
      </c>
      <c r="C398">
        <f>'主翼(型紙出力)'!C241</f>
        <v>0</v>
      </c>
      <c r="D398">
        <f>'主翼(型紙出力)'!E241</f>
        <v>0</v>
      </c>
      <c r="E398">
        <f>'主翼(重量推算)'!CE238</f>
        <v>0</v>
      </c>
      <c r="F398" cm="1">
        <f t="array" ref="F398">_xlfn.SWITCH(TRUE,
  $C398&lt;$Q$5,  $S$22*$C398+$T$22,
  $C398&lt;$Q$6,  $S$23*$C398+$T$23,
  $C398&lt;$Q$7,  $S$24*$C398+$T$24,
  $C398&lt;$Q$8, $S$25*$C398+$T$25,
  $C398&lt;$Q$9, $S$26*$C398+$T$26,
  $C398&lt;$Q$10, $S$27*$C398+$T$27,
  $C398&lt;$Q$11,  $S$28*$C398+$T$28,
  $C398&lt;$Q$12, $S$29*$C398+$T$29,
  $S$30*$C398+$T$30
)</f>
        <v>1.1000000000000001</v>
      </c>
      <c r="G398" cm="1">
        <f t="array" ref="G398">_xlfn.SWITCH(TRUE,
  $C398&lt;$Q$5,  $U$22*$C398+$V$22,
  $C398&lt;$Q$6,  $U$23*$C398+$V$23,
  $C398&lt;$Q$7,  $U$24*$C398+$V$24,
  $C398&lt;$Q$8, $U$25*$C398+$V$25,
  $C398&lt;$Q$9, $U$26*$C398+$V$26,
  $C398&lt;$Q$10, $U$27*$C398+$V$27,
  $C398&lt;$Q$11,  $U$28*$C398+$V$28,
  $C398&lt;$Q$12, $U$29*$C398+$V$29,
  $U$30*$C398+$V$30
)</f>
        <v>3.4</v>
      </c>
      <c r="H398" cm="1">
        <f t="array" ref="H398">_xlfn.LET(
  _xlpm.y,$C398,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8" cm="1">
        <f t="array" ref="I398">_xlfn.LET(
  _xlpm.y,$C398,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8" cm="1">
        <f t="array" ref="J398">_xlfn.LET(
  _xlpm.y,$C398,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8" cm="1">
        <f t="array" ref="K398">_xlfn.LET(
  _xlpm.y,$C398,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8" cm="1">
        <f t="array" ref="L398">_xlfn.LET(
  _xlpm.y,$C398,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8" cm="1">
        <f t="array" ref="M398">_xlfn.SWITCH(TRUE,
  $C398&lt;$Q$5,  $D$22,
  $C398&lt;$Q$6,  $D$23,
  $C398&lt;$Q$7,  $D$24,
  $C398&lt;$Q$8,  $D$25,
  $C398&lt;$Q$9,  $D$26,
  $C398&lt;$Q$10,  $D$27,
  $C398&lt;$Q$11,  $D$28,
  $C398&lt;$Q$12,  $D$29,
  $C398&lt;$Q$13,  $D$30,
  $C398&lt;100,  $D$31,
)</f>
        <v>0</v>
      </c>
      <c r="S398" cm="1">
        <f t="array" ref="S398">_xlfn.SWITCH(TRUE,
  $C398&lt;$Q$5,  $U$41*$C398+$V$41,
  $C398&lt;$Q$6,  $U$42*$C398+$V$42,
  $C398&lt;$Q$7,  $U$43*$C398+$V$43,
  $C398&lt;$Q$8, $U$44*$C398+$V$44,
  $C398&lt;$Q$9, $U$45*$C398+$V$45,
  $C398&lt;$Q$10, $U$46*$C398+$V$46,
  $C398&lt;$Q$11,  $U$47*$C398+$V$47,
  $C398&lt;$Q$12, $U$48*$C398+$V$48,
  $U$49*$C398+$V$49
)</f>
        <v>3.8</v>
      </c>
    </row>
    <row r="399" spans="2:19">
      <c r="B399">
        <f>'主翼(型紙出力)'!B242</f>
        <v>0</v>
      </c>
      <c r="C399">
        <f>'主翼(型紙出力)'!C242</f>
        <v>0</v>
      </c>
      <c r="D399">
        <f>'主翼(型紙出力)'!E242</f>
        <v>0</v>
      </c>
      <c r="E399">
        <f>'主翼(重量推算)'!CE239</f>
        <v>0</v>
      </c>
      <c r="F399" cm="1">
        <f t="array" ref="F399">_xlfn.SWITCH(TRUE,
  $C399&lt;$Q$5,  $S$22*$C399+$T$22,
  $C399&lt;$Q$6,  $S$23*$C399+$T$23,
  $C399&lt;$Q$7,  $S$24*$C399+$T$24,
  $C399&lt;$Q$8, $S$25*$C399+$T$25,
  $C399&lt;$Q$9, $S$26*$C399+$T$26,
  $C399&lt;$Q$10, $S$27*$C399+$T$27,
  $C399&lt;$Q$11,  $S$28*$C399+$T$28,
  $C399&lt;$Q$12, $S$29*$C399+$T$29,
  $S$30*$C399+$T$30
)</f>
        <v>1.1000000000000001</v>
      </c>
      <c r="G399" cm="1">
        <f t="array" ref="G399">_xlfn.SWITCH(TRUE,
  $C399&lt;$Q$5,  $U$22*$C399+$V$22,
  $C399&lt;$Q$6,  $U$23*$C399+$V$23,
  $C399&lt;$Q$7,  $U$24*$C399+$V$24,
  $C399&lt;$Q$8, $U$25*$C399+$V$25,
  $C399&lt;$Q$9, $U$26*$C399+$V$26,
  $C399&lt;$Q$10, $U$27*$C399+$V$27,
  $C399&lt;$Q$11,  $U$28*$C399+$V$28,
  $C399&lt;$Q$12, $U$29*$C399+$V$29,
  $U$30*$C399+$V$30
)</f>
        <v>3.4</v>
      </c>
      <c r="H399" cm="1">
        <f t="array" ref="H399">_xlfn.LET(
  _xlpm.y,$C399,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9" cm="1">
        <f t="array" ref="I399">_xlfn.LET(
  _xlpm.y,$C399,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9" cm="1">
        <f t="array" ref="J399">_xlfn.LET(
  _xlpm.y,$C399,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9" cm="1">
        <f t="array" ref="K399">_xlfn.LET(
  _xlpm.y,$C399,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9" cm="1">
        <f t="array" ref="L399">_xlfn.LET(
  _xlpm.y,$C399,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9" cm="1">
        <f t="array" ref="M399">_xlfn.SWITCH(TRUE,
  $C399&lt;$Q$5,  $D$22,
  $C399&lt;$Q$6,  $D$23,
  $C399&lt;$Q$7,  $D$24,
  $C399&lt;$Q$8,  $D$25,
  $C399&lt;$Q$9,  $D$26,
  $C399&lt;$Q$10,  $D$27,
  $C399&lt;$Q$11,  $D$28,
  $C399&lt;$Q$12,  $D$29,
  $C399&lt;$Q$13,  $D$30,
  $C399&lt;100,  $D$31,
)</f>
        <v>0</v>
      </c>
      <c r="S399" cm="1">
        <f t="array" ref="S399">_xlfn.SWITCH(TRUE,
  $C399&lt;$Q$5,  $U$41*$C399+$V$41,
  $C399&lt;$Q$6,  $U$42*$C399+$V$42,
  $C399&lt;$Q$7,  $U$43*$C399+$V$43,
  $C399&lt;$Q$8, $U$44*$C399+$V$44,
  $C399&lt;$Q$9, $U$45*$C399+$V$45,
  $C399&lt;$Q$10, $U$46*$C399+$V$46,
  $C399&lt;$Q$11,  $U$47*$C399+$V$47,
  $C399&lt;$Q$12, $U$48*$C399+$V$48,
  $U$49*$C399+$V$49
)</f>
        <v>3.8</v>
      </c>
    </row>
    <row r="400" spans="2:19">
      <c r="B400">
        <f>'主翼(型紙出力)'!B243</f>
        <v>0</v>
      </c>
      <c r="C400">
        <f>'主翼(型紙出力)'!C243</f>
        <v>0</v>
      </c>
      <c r="D400">
        <f>'主翼(型紙出力)'!E243</f>
        <v>0</v>
      </c>
      <c r="E400">
        <f>'主翼(重量推算)'!CE240</f>
        <v>0</v>
      </c>
      <c r="F400" cm="1">
        <f t="array" ref="F400">_xlfn.SWITCH(TRUE,
  $C400&lt;$Q$5,  $S$22*$C400+$T$22,
  $C400&lt;$Q$6,  $S$23*$C400+$T$23,
  $C400&lt;$Q$7,  $S$24*$C400+$T$24,
  $C400&lt;$Q$8, $S$25*$C400+$T$25,
  $C400&lt;$Q$9, $S$26*$C400+$T$26,
  $C400&lt;$Q$10, $S$27*$C400+$T$27,
  $C400&lt;$Q$11,  $S$28*$C400+$T$28,
  $C400&lt;$Q$12, $S$29*$C400+$T$29,
  $S$30*$C400+$T$30
)</f>
        <v>1.1000000000000001</v>
      </c>
      <c r="G400" cm="1">
        <f t="array" ref="G400">_xlfn.SWITCH(TRUE,
  $C400&lt;$Q$5,  $U$22*$C400+$V$22,
  $C400&lt;$Q$6,  $U$23*$C400+$V$23,
  $C400&lt;$Q$7,  $U$24*$C400+$V$24,
  $C400&lt;$Q$8, $U$25*$C400+$V$25,
  $C400&lt;$Q$9, $U$26*$C400+$V$26,
  $C400&lt;$Q$10, $U$27*$C400+$V$27,
  $C400&lt;$Q$11,  $U$28*$C400+$V$28,
  $C400&lt;$Q$12, $U$29*$C400+$V$29,
  $U$30*$C400+$V$30
)</f>
        <v>3.4</v>
      </c>
      <c r="H400" cm="1">
        <f t="array" ref="H400">_xlfn.LET(
  _xlpm.y,$C400,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400" cm="1">
        <f t="array" ref="I400">_xlfn.LET(
  _xlpm.y,$C400,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400" cm="1">
        <f t="array" ref="J400">_xlfn.LET(
  _xlpm.y,$C400,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400" cm="1">
        <f t="array" ref="K400">_xlfn.LET(
  _xlpm.y,$C400,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400" cm="1">
        <f t="array" ref="L400">_xlfn.LET(
  _xlpm.y,$C400,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400" cm="1">
        <f t="array" ref="M400">_xlfn.SWITCH(TRUE,
  $C400&lt;$Q$5,  $D$22,
  $C400&lt;$Q$6,  $D$23,
  $C400&lt;$Q$7,  $D$24,
  $C400&lt;$Q$8,  $D$25,
  $C400&lt;$Q$9,  $D$26,
  $C400&lt;$Q$10,  $D$27,
  $C400&lt;$Q$11,  $D$28,
  $C400&lt;$Q$12,  $D$29,
  $C400&lt;$Q$13,  $D$30,
  $C400&lt;100,  $D$31,
)</f>
        <v>0</v>
      </c>
      <c r="S400" cm="1">
        <f t="array" ref="S400">_xlfn.SWITCH(TRUE,
  $C400&lt;$Q$5,  $U$41*$C400+$V$41,
  $C400&lt;$Q$6,  $U$42*$C400+$V$42,
  $C400&lt;$Q$7,  $U$43*$C400+$V$43,
  $C400&lt;$Q$8, $U$44*$C400+$V$44,
  $C400&lt;$Q$9, $U$45*$C400+$V$45,
  $C400&lt;$Q$10, $U$46*$C400+$V$46,
  $C400&lt;$Q$11,  $U$47*$C400+$V$47,
  $C400&lt;$Q$12, $U$48*$C400+$V$48,
  $U$49*$C400+$V$49
)</f>
        <v>3.8</v>
      </c>
    </row>
    <row r="401" spans="2:19">
      <c r="B401">
        <f>'主翼(型紙出力)'!B244</f>
        <v>0</v>
      </c>
      <c r="C401">
        <f>'主翼(型紙出力)'!C244</f>
        <v>0</v>
      </c>
      <c r="D401">
        <f>'主翼(型紙出力)'!E244</f>
        <v>0</v>
      </c>
      <c r="E401">
        <f>'主翼(重量推算)'!CE241</f>
        <v>0</v>
      </c>
      <c r="F401" cm="1">
        <f t="array" ref="F401">_xlfn.SWITCH(TRUE,
  $C401&lt;$Q$5,  $S$22*$C401+$T$22,
  $C401&lt;$Q$6,  $S$23*$C401+$T$23,
  $C401&lt;$Q$7,  $S$24*$C401+$T$24,
  $C401&lt;$Q$8, $S$25*$C401+$T$25,
  $C401&lt;$Q$9, $S$26*$C401+$T$26,
  $C401&lt;$Q$10, $S$27*$C401+$T$27,
  $C401&lt;$Q$11,  $S$28*$C401+$T$28,
  $C401&lt;$Q$12, $S$29*$C401+$T$29,
  $S$30*$C401+$T$30
)</f>
        <v>1.1000000000000001</v>
      </c>
      <c r="G401" cm="1">
        <f t="array" ref="G401">_xlfn.SWITCH(TRUE,
  $C401&lt;$Q$5,  $U$22*$C401+$V$22,
  $C401&lt;$Q$6,  $U$23*$C401+$V$23,
  $C401&lt;$Q$7,  $U$24*$C401+$V$24,
  $C401&lt;$Q$8, $U$25*$C401+$V$25,
  $C401&lt;$Q$9, $U$26*$C401+$V$26,
  $C401&lt;$Q$10, $U$27*$C401+$V$27,
  $C401&lt;$Q$11,  $U$28*$C401+$V$28,
  $C401&lt;$Q$12, $U$29*$C401+$V$29,
  $U$30*$C401+$V$30
)</f>
        <v>3.4</v>
      </c>
      <c r="H401" cm="1">
        <f t="array" ref="H401">_xlfn.LET(
  _xlpm.y,$C401,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401" cm="1">
        <f t="array" ref="I401">_xlfn.LET(
  _xlpm.y,$C401,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401" cm="1">
        <f t="array" ref="J401">_xlfn.LET(
  _xlpm.y,$C401,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401" cm="1">
        <f t="array" ref="K401">_xlfn.LET(
  _xlpm.y,$C401,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401" cm="1">
        <f t="array" ref="L401">_xlfn.LET(
  _xlpm.y,$C401,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401" cm="1">
        <f t="array" ref="M401">_xlfn.SWITCH(TRUE,
  $C401&lt;$Q$5,  $D$22,
  $C401&lt;$Q$6,  $D$23,
  $C401&lt;$Q$7,  $D$24,
  $C401&lt;$Q$8,  $D$25,
  $C401&lt;$Q$9,  $D$26,
  $C401&lt;$Q$10,  $D$27,
  $C401&lt;$Q$11,  $D$28,
  $C401&lt;$Q$12,  $D$29,
  $C401&lt;$Q$13,  $D$30,
  $C401&lt;100,  $D$31,
)</f>
        <v>0</v>
      </c>
      <c r="S401" cm="1">
        <f t="array" ref="S401">_xlfn.SWITCH(TRUE,
  $C401&lt;$Q$5,  $U$41*$C401+$V$41,
  $C401&lt;$Q$6,  $U$42*$C401+$V$42,
  $C401&lt;$Q$7,  $U$43*$C401+$V$43,
  $C401&lt;$Q$8, $U$44*$C401+$V$44,
  $C401&lt;$Q$9, $U$45*$C401+$V$45,
  $C401&lt;$Q$10, $U$46*$C401+$V$46,
  $C401&lt;$Q$11,  $U$47*$C401+$V$47,
  $C401&lt;$Q$12, $U$48*$C401+$V$48,
  $U$49*$C401+$V$49
)</f>
        <v>3.8</v>
      </c>
    </row>
    <row r="402" spans="2:19">
      <c r="B402">
        <f>'主翼(型紙出力)'!B245</f>
        <v>0</v>
      </c>
      <c r="C402">
        <f>'主翼(型紙出力)'!C245</f>
        <v>0</v>
      </c>
      <c r="D402">
        <f>'主翼(型紙出力)'!E245</f>
        <v>0</v>
      </c>
      <c r="F402" cm="1">
        <f t="array" ref="F402">_xlfn.SWITCH(TRUE,
  $C402&lt;$Q$5,  $S$22*$C402+$T$22,
  $C402&lt;$Q$6,  $S$23*$C402+$T$23,
  $C402&lt;$Q$7,  $S$24*$C402+$T$24,
  $C402&lt;$Q$8, $S$25*$C402+$T$25,
  $C402&lt;$Q$9, $S$26*$C402+$T$26,
  $C402&lt;$Q$10, $S$27*$C402+$T$27,
  $C402&lt;$Q$11,  $S$28*$C402+$T$28,
  $C402&lt;$Q$12, $S$29*$C402+$T$29,
  $S$30*$C402+$T$30
)</f>
        <v>1.1000000000000001</v>
      </c>
      <c r="G402" cm="1">
        <f t="array" ref="G402">_xlfn.SWITCH(TRUE,
  $C402&lt;$Q$5,  $U$22*$C402+$V$22,
  $C402&lt;$Q$6,  $U$23*$C402+$V$23,
  $C402&lt;$Q$7,  $U$24*$C402+$V$24,
  $C402&lt;$Q$8, $U$25*$C402+$V$25,
  $C402&lt;$Q$9, $U$26*$C402+$V$26,
  $C402&lt;$Q$10, $U$27*$C402+$V$27,
  $C402&lt;$Q$11,  $U$28*$C402+$V$28,
  $C402&lt;$Q$12, $U$29*$C402+$V$29,
  $U$30*$C402+$V$30
)</f>
        <v>3.4</v>
      </c>
      <c r="H402" cm="1">
        <f t="array" ref="H402">_xlfn.LET(
  _xlpm.y,$C402,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402" cm="1">
        <f t="array" ref="I402">_xlfn.LET(
  _xlpm.y,$C402,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402" cm="1">
        <f t="array" ref="J402">_xlfn.LET(
  _xlpm.y,$C402,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402" cm="1">
        <f t="array" ref="K402">_xlfn.LET(
  _xlpm.y,$C402,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402" cm="1">
        <f t="array" ref="L402">_xlfn.LET(
  _xlpm.y,$C402,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402" cm="1">
        <f t="array" ref="M402">_xlfn.SWITCH(TRUE,
  $C402&lt;$Q$5,  $D$22,
  $C402&lt;$Q$6,  $D$23,
  $C402&lt;$Q$7,  $D$24,
  $C402&lt;$Q$8,  $D$25,
  $C402&lt;$Q$9,  $D$26,
  $C402&lt;$Q$10,  $D$27,
  $C402&lt;$Q$11,  $D$28,
  $C402&lt;$Q$12,  $D$29,
  $C402&lt;$Q$13,  $D$30,
  $C402&lt;100,  $D$31,
)</f>
        <v>0</v>
      </c>
      <c r="S402" cm="1">
        <f t="array" ref="S402">_xlfn.SWITCH(TRUE,
  $C402&lt;$Q$5,  $U$41*$C402+$V$41,
  $C402&lt;$Q$6,  $U$42*$C402+$V$42,
  $C402&lt;$Q$7,  $U$43*$C402+$V$43,
  $C402&lt;$Q$8, $U$44*$C402+$V$44,
  $C402&lt;$Q$9, $U$45*$C402+$V$45,
  $C402&lt;$Q$10, $U$46*$C402+$V$46,
  $C402&lt;$Q$11,  $U$47*$C402+$V$47,
  $C402&lt;$Q$12, $U$48*$C402+$V$48,
  $U$49*$C402+$V$49
)</f>
        <v>3.8</v>
      </c>
    </row>
    <row r="403" spans="2:19">
      <c r="B403">
        <f>'主翼(型紙出力)'!B246</f>
        <v>0</v>
      </c>
      <c r="C403">
        <f>'主翼(型紙出力)'!C246</f>
        <v>0</v>
      </c>
      <c r="D403">
        <f>'主翼(型紙出力)'!E246</f>
        <v>0</v>
      </c>
      <c r="F403" cm="1">
        <f t="array" ref="F403">_xlfn.SWITCH(TRUE,
  $C403&lt;$Q$5,  $S$22*$C403+$T$22,
  $C403&lt;$Q$6,  $S$23*$C403+$T$23,
  $C403&lt;$Q$7,  $S$24*$C403+$T$24,
  $C403&lt;$Q$8, $S$25*$C403+$T$25,
  $C403&lt;$Q$9, $S$26*$C403+$T$26,
  $C403&lt;$Q$10, $S$27*$C403+$T$27,
  $C403&lt;$Q$11,  $S$28*$C403+$T$28,
  $C403&lt;$Q$12, $S$29*$C403+$T$29,
  $S$30*$C403+$T$30
)</f>
        <v>1.1000000000000001</v>
      </c>
      <c r="G403" cm="1">
        <f t="array" ref="G403">_xlfn.SWITCH(TRUE,
  $C403&lt;$Q$5,  $U$22*$C403+$V$22,
  $C403&lt;$Q$6,  $U$23*$C403+$V$23,
  $C403&lt;$Q$7,  $U$24*$C403+$V$24,
  $C403&lt;$Q$8, $U$25*$C403+$V$25,
  $C403&lt;$Q$9, $U$26*$C403+$V$26,
  $C403&lt;$Q$10, $U$27*$C403+$V$27,
  $C403&lt;$Q$11,  $U$28*$C403+$V$28,
  $C403&lt;$Q$12, $U$29*$C403+$V$29,
  $U$30*$C403+$V$30
)</f>
        <v>3.4</v>
      </c>
      <c r="H403" cm="1">
        <f t="array" ref="H403">_xlfn.LET(
  _xlpm.y,$C403,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S403" cm="1">
        <f t="array" ref="S403">_xlfn.SWITCH(TRUE,
  $C403&lt;$Q$5,  $U$41*$C403+$V$41,
  $C403&lt;$Q$6,  $U$42*$C403+$V$42,
  $C403&lt;$Q$7,  $U$43*$C403+$V$43,
  $C403&lt;$Q$8, $U$44*$C403+$V$44,
  $C403&lt;$Q$9, $U$45*$C403+$V$45,
  $C403&lt;$Q$10, $U$46*$C403+$V$46,
  $C403&lt;$Q$11,  $U$47*$C403+$V$47,
  $C403&lt;$Q$12, $U$48*$C403+$V$48,
  $U$49*$C403+$V$49
)</f>
        <v>3.8</v>
      </c>
    </row>
    <row r="404" spans="2:19">
      <c r="B404">
        <f>'主翼(型紙出力)'!B247</f>
        <v>0</v>
      </c>
      <c r="C404">
        <f>'主翼(型紙出力)'!C247</f>
        <v>0</v>
      </c>
      <c r="D404">
        <f>'主翼(型紙出力)'!E247</f>
        <v>0</v>
      </c>
      <c r="F404" cm="1">
        <f t="array" ref="F404">_xlfn.SWITCH(TRUE,
  $C404&lt;$Q$5,  $S$22*$C404+$T$22,
  $C404&lt;$Q$6,  $S$23*$C404+$T$23,
  $C404&lt;$Q$7,  $S$24*$C404+$T$24,
  $C404&lt;$Q$8, $S$25*$C404+$T$25,
  $C404&lt;$Q$9, $S$26*$C404+$T$26,
  $C404&lt;$Q$10, $S$27*$C404+$T$27,
  $C404&lt;$Q$11,  $S$28*$C404+$T$28,
  $C404&lt;$Q$12, $S$29*$C404+$T$29,
  $S$30*$C404+$T$30
)</f>
        <v>1.1000000000000001</v>
      </c>
      <c r="G404" cm="1">
        <f t="array" ref="G404">_xlfn.SWITCH(TRUE,
  $C404&lt;$Q$5,  $U$22*$C404+$V$22,
  $C404&lt;$Q$6,  $U$23*$C404+$V$23,
  $C404&lt;$Q$7,  $U$24*$C404+$V$24,
  $C404&lt;$Q$8, $U$25*$C404+$V$25,
  $C404&lt;$Q$9, $U$26*$C404+$V$26,
  $C404&lt;$Q$10, $U$27*$C404+$V$27,
  $C404&lt;$Q$11,  $U$28*$C404+$V$28,
  $C404&lt;$Q$12, $U$29*$C404+$V$29,
  $U$30*$C404+$V$30
)</f>
        <v>3.4</v>
      </c>
      <c r="H404" cm="1">
        <f t="array" ref="H404">_xlfn.LET(
  _xlpm.y,$C404,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S404" cm="1">
        <f t="array" ref="S404">_xlfn.SWITCH(TRUE,
  $C404&lt;$Q$5,  $U$41*$C404+$V$41,
  $C404&lt;$Q$6,  $U$42*$C404+$V$42,
  $C404&lt;$Q$7,  $U$43*$C404+$V$43,
  $C404&lt;$Q$8, $U$44*$C404+$V$44,
  $C404&lt;$Q$9, $U$45*$C404+$V$45,
  $C404&lt;$Q$10, $U$46*$C404+$V$46,
  $C404&lt;$Q$11,  $U$47*$C404+$V$47,
  $C404&lt;$Q$12, $U$48*$C404+$V$48,
  $U$49*$C404+$V$49
)</f>
        <v>3.8</v>
      </c>
    </row>
    <row r="405" spans="2:19">
      <c r="B405">
        <f>'主翼(型紙出力)'!B248</f>
        <v>0</v>
      </c>
      <c r="C405">
        <f>'主翼(型紙出力)'!C248</f>
        <v>0</v>
      </c>
      <c r="D405">
        <f>'主翼(型紙出力)'!E248</f>
        <v>0</v>
      </c>
      <c r="F405" cm="1">
        <f t="array" ref="F405">_xlfn.SWITCH(TRUE,
  $C405&lt;$Q$5,  $S$22*$C405+$T$22,
  $C405&lt;$Q$6,  $S$23*$C405+$T$23,
  $C405&lt;$Q$7,  $S$24*$C405+$T$24,
  $C405&lt;$Q$8, $S$25*$C405+$T$25,
  $C405&lt;$Q$9, $S$26*$C405+$T$26,
  $C405&lt;$Q$10, $S$27*$C405+$T$27,
  $C405&lt;$Q$11,  $S$28*$C405+$T$28,
  $C405&lt;$Q$12, $S$29*$C405+$T$29,
  $S$30*$C405+$T$30
)</f>
        <v>1.1000000000000001</v>
      </c>
      <c r="G405" cm="1">
        <f t="array" ref="G405">_xlfn.SWITCH(TRUE,
  $C405&lt;$Q$5,  $U$22*$C405+$V$22,
  $C405&lt;$Q$6,  $U$23*$C405+$V$23,
  $C405&lt;$Q$7,  $U$24*$C405+$V$24,
  $C405&lt;$Q$8, $U$25*$C405+$V$25,
  $C405&lt;$Q$9, $U$26*$C405+$V$26,
  $C405&lt;$Q$10, $U$27*$C405+$V$27,
  $C405&lt;$Q$11,  $U$28*$C405+$V$28,
  $C405&lt;$Q$12, $U$29*$C405+$V$29,
  $U$30*$C405+$V$30
)</f>
        <v>3.4</v>
      </c>
      <c r="H405" cm="1">
        <f t="array" ref="H405">_xlfn.LET(
  _xlpm.y,$C405,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S405" cm="1">
        <f t="array" ref="S405">_xlfn.SWITCH(TRUE,
  $C405&lt;$Q$5,  $U$41*$C405+$V$41,
  $C405&lt;$Q$6,  $U$42*$C405+$V$42,
  $C405&lt;$Q$7,  $U$43*$C405+$V$43,
  $C405&lt;$Q$8, $U$44*$C405+$V$44,
  $C405&lt;$Q$9, $U$45*$C405+$V$45,
  $C405&lt;$Q$10, $U$46*$C405+$V$46,
  $C405&lt;$Q$11,  $U$47*$C405+$V$47,
  $C405&lt;$Q$12, $U$48*$C405+$V$48,
  $U$49*$C405+$V$49
)</f>
        <v>3.8</v>
      </c>
    </row>
    <row r="406" spans="2:19">
      <c r="B406">
        <f>'主翼(型紙出力)'!B249</f>
        <v>0</v>
      </c>
      <c r="F406" cm="1">
        <f t="array" ref="F406">_xlfn.SWITCH(TRUE,
  $C406&lt;$Q$5,  $S$22*$C406+$T$22,
  $C406&lt;$Q$6,  $S$23*$C406+$T$23,
  $C406&lt;$Q$7,  $S$24*$C406+$T$24,
  $C406&lt;$Q$8, $S$25*$C406+$T$25,
  $C406&lt;$Q$9, $S$26*$C406+$T$26,
  $C406&lt;$Q$10, $S$27*$C406+$T$27,
  $C406&lt;$Q$11,  $S$28*$C406+$T$28,
  $C406&lt;$Q$12, $S$29*$C406+$T$29,
  $S$30*$C406+$T$30
)</f>
        <v>1.1000000000000001</v>
      </c>
      <c r="G406" cm="1">
        <f t="array" ref="G406">_xlfn.SWITCH(TRUE,
  $C406&lt;$Q$5,  $U$22*$C406+$V$22,
  $C406&lt;$Q$6,  $U$23*$C406+$V$23,
  $C406&lt;$Q$7,  $U$24*$C406+$V$24,
  $C406&lt;$Q$8, $U$25*$C406+$V$25,
  $C406&lt;$Q$9, $U$26*$C406+$V$26,
  $C406&lt;$Q$10, $U$27*$C406+$V$27,
  $C406&lt;$Q$11,  $U$28*$C406+$V$28,
  $C406&lt;$Q$12, $U$29*$C406+$V$29,
  $U$30*$C406+$V$30
)</f>
        <v>3.4</v>
      </c>
      <c r="H406" cm="1">
        <f t="array" ref="H406">_xlfn.LET(
  _xlpm.y,$C406,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row>
    <row r="407" spans="2:19">
      <c r="B407">
        <f>'主翼(型紙出力)'!B250</f>
        <v>0</v>
      </c>
      <c r="F407" cm="1">
        <f t="array" ref="F407">_xlfn.SWITCH(TRUE,
  $C407&lt;$Q$5,  $S$22*$C407+$T$22,
  $C407&lt;$Q$6,  $S$23*$C407+$T$23,
  $C407&lt;$Q$7,  $S$24*$C407+$T$24,
  $C407&lt;$Q$8, $S$25*$C407+$T$25,
  $C407&lt;$Q$9, $S$26*$C407+$T$26,
  $C407&lt;$Q$10, $S$27*$C407+$T$27,
  $C407&lt;$Q$11,  $S$28*$C407+$T$28,
  $C407&lt;$Q$12, $S$29*$C407+$T$29,
  $S$30*$C407+$T$30
)</f>
        <v>1.1000000000000001</v>
      </c>
      <c r="G407" cm="1">
        <f t="array" ref="G407">_xlfn.SWITCH(TRUE,
  $C407&lt;$Q$5,  $U$22*$C407+$V$22,
  $C407&lt;$Q$6,  $U$23*$C407+$V$23,
  $C407&lt;$Q$7,  $U$24*$C407+$V$24,
  $C407&lt;$Q$8, $U$25*$C407+$V$25,
  $C407&lt;$Q$9, $U$26*$C407+$V$26,
  $C407&lt;$Q$10, $U$27*$C407+$V$27,
  $C407&lt;$Q$11,  $U$28*$C407+$V$28,
  $C407&lt;$Q$12, $U$29*$C407+$V$29,
  $U$30*$C407+$V$30
)</f>
        <v>3.4</v>
      </c>
      <c r="H407" cm="1">
        <f t="array" ref="H407">_xlfn.LET(
  _xlpm.y,$C407,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row>
    <row r="408" spans="2:19">
      <c r="F408" cm="1">
        <f t="array" ref="F408">_xlfn.SWITCH(TRUE,
  $C408&lt;$Q$5,  $S$22*$C408+$T$22,
  $C408&lt;$Q$6,  $S$23*$C408+$T$23,
  $C408&lt;$Q$7,  $S$24*$C408+$T$24,
  $C408&lt;$Q$8, $S$25*$C408+$T$25,
  $C408&lt;$Q$9, $S$26*$C408+$T$26,
  $C408&lt;$Q$10, $S$27*$C408+$T$27,
  $C408&lt;$Q$11,  $S$28*$C408+$T$28,
  $C408&lt;$Q$12, $S$29*$C408+$T$29,
  $S$30*$C408+$T$30
)</f>
        <v>1.1000000000000001</v>
      </c>
    </row>
    <row r="409" spans="2:19">
      <c r="F409" cm="1">
        <f t="array" ref="F409">_xlfn.SWITCH(TRUE,
  $C409&lt;$Q$5,  $S$22*$C409+$T$22,
  $C409&lt;$Q$6,  $S$23*$C409+$T$23,
  $C409&lt;$Q$7,  $S$24*$C409+$T$24,
  $C409&lt;$Q$8, $S$25*$C409+$T$25,
  $C409&lt;$Q$9, $S$26*$C409+$T$26,
  $C409&lt;$Q$10, $S$27*$C409+$T$27,
  $C409&lt;$Q$11,  $S$28*$C409+$T$28,
  $C409&lt;$Q$12, $S$29*$C409+$T$29,
  $S$30*$C409+$T$30
)</f>
        <v>1.1000000000000001</v>
      </c>
    </row>
    <row r="410" spans="2:19">
      <c r="F410" cm="1">
        <f t="array" ref="F410">_xlfn.SWITCH(TRUE,
  $C410&lt;$Q$5,  $S$22*$C410+$T$22,
  $C410&lt;$Q$6,  $S$23*$C410+$T$23,
  $C410&lt;$Q$7,  $S$24*$C410+$T$24,
  $C410&lt;$Q$8, $S$25*$C410+$T$25,
  $C410&lt;$Q$9, $S$26*$C410+$T$26,
  $C410&lt;$Q$10, $S$27*$C410+$T$27,
  $C410&lt;$Q$11,  $S$28*$C410+$T$28,
  $C410&lt;$Q$12, $S$29*$C410+$T$29,
  $S$30*$C410+$T$30
)</f>
        <v>1.1000000000000001</v>
      </c>
    </row>
    <row r="411" spans="2:19">
      <c r="F411" cm="1">
        <f t="array" ref="F411">_xlfn.SWITCH(TRUE,
  $C411&lt;$Q$5,  $S$22*$C411+$T$22,
  $C411&lt;$Q$6,  $S$23*$C411+$T$23,
  $C411&lt;$Q$7,  $S$24*$C411+$T$24,
  $C411&lt;$Q$8, $S$25*$C411+$T$25,
  $C411&lt;$Q$9, $S$26*$C411+$T$26,
  $C411&lt;$Q$10, $S$27*$C411+$T$27,
  $C411&lt;$Q$11,  $S$28*$C411+$T$28,
  $C411&lt;$Q$12, $S$29*$C411+$T$29,
  $S$30*$C411+$T$30
)</f>
        <v>1.1000000000000001</v>
      </c>
    </row>
    <row r="412" spans="2:19">
      <c r="F412" cm="1">
        <f t="array" ref="F412">_xlfn.SWITCH(TRUE,
  $C412&lt;$Q$5,  $S$22*$C412+$T$22,
  $C412&lt;$Q$6,  $S$23*$C412+$T$23,
  $C412&lt;$Q$7,  $S$24*$C412+$T$24,
  $C412&lt;$Q$8, $S$25*$C412+$T$25,
  $C412&lt;$Q$9, $S$26*$C412+$T$26,
  $C412&lt;$Q$10, $S$27*$C412+$T$27,
  $C412&lt;$Q$11,  $S$28*$C412+$T$28,
  $C412&lt;$Q$12, $S$29*$C412+$T$29,
  $S$30*$C412+$T$30
)</f>
        <v>1.1000000000000001</v>
      </c>
    </row>
    <row r="413" spans="2:19">
      <c r="F413" cm="1">
        <f t="array" ref="F413">_xlfn.SWITCH(TRUE,
  $C413&lt;$Q$5,  $S$22*$C413+$T$22,
  $C413&lt;$Q$6,  $S$23*$C413+$T$23,
  $C413&lt;$Q$7,  $S$24*$C413+$T$24,
  $C413&lt;$Q$8, $S$25*$C413+$T$25,
  $C413&lt;$Q$9, $S$26*$C413+$T$26,
  $C413&lt;$Q$10, $S$27*$C413+$T$27,
  $C413&lt;$Q$11,  $S$28*$C413+$T$28,
  $C413&lt;$Q$12, $S$29*$C413+$T$29,
  $S$30*$C413+$T$30
)</f>
        <v>1.1000000000000001</v>
      </c>
    </row>
    <row r="414" spans="2:19">
      <c r="F414" cm="1">
        <f t="array" ref="F414">_xlfn.SWITCH(TRUE,
  $C414&lt;$Q$5,  $S$22*$C414+$T$22,
  $C414&lt;$Q$6,  $S$23*$C414+$T$23,
  $C414&lt;$Q$7,  $S$24*$C414+$T$24,
  $C414&lt;$Q$8, $S$25*$C414+$T$25,
  $C414&lt;$Q$9, $S$26*$C414+$T$26,
  $C414&lt;$Q$10, $S$27*$C414+$T$27,
  $C414&lt;$Q$11,  $S$28*$C414+$T$28,
  $C414&lt;$Q$12, $S$29*$C414+$T$29,
  $S$30*$C414+$T$30
)</f>
        <v>1.1000000000000001</v>
      </c>
    </row>
    <row r="415" spans="2:19">
      <c r="F415" cm="1">
        <f t="array" ref="F415">_xlfn.SWITCH(TRUE,
  $C415&lt;$Q$5,  $S$22*$C415+$T$22,
  $C415&lt;$Q$6,  $S$23*$C415+$T$23,
  $C415&lt;$Q$7,  $S$24*$C415+$T$24,
  $C415&lt;$Q$8, $S$25*$C415+$T$25,
  $C415&lt;$Q$9, $S$26*$C415+$T$26,
  $C415&lt;$Q$10, $S$27*$C415+$T$27,
  $C415&lt;$Q$11,  $S$28*$C415+$T$28,
  $C415&lt;$Q$12, $S$29*$C415+$T$29,
  $S$30*$C415+$T$30
)</f>
        <v>1.1000000000000001</v>
      </c>
    </row>
    <row r="416" spans="2:19">
      <c r="F416" cm="1">
        <f t="array" ref="F416">_xlfn.SWITCH(TRUE,
  $C416&lt;$Q$5,  $S$22*$C416+$T$22,
  $C416&lt;$Q$6,  $S$23*$C416+$T$23,
  $C416&lt;$Q$7,  $S$24*$C416+$T$24,
  $C416&lt;$Q$8, $S$25*$C416+$T$25,
  $C416&lt;$Q$9, $S$26*$C416+$T$26,
  $C416&lt;$Q$10, $S$27*$C416+$T$27,
  $C416&lt;$Q$11,  $S$28*$C416+$T$28,
  $C416&lt;$Q$12, $S$29*$C416+$T$29,
  $S$30*$C416+$T$30
)</f>
        <v>1.1000000000000001</v>
      </c>
    </row>
    <row r="417" spans="2:19">
      <c r="F417" cm="1">
        <f t="array" ref="F417">_xlfn.SWITCH(TRUE,
  $C417&lt;$Q$5,  $S$22*$C417+$T$22,
  $C417&lt;$Q$6,  $S$23*$C417+$T$23,
  $C417&lt;$Q$7,  $S$24*$C417+$T$24,
  $C417&lt;$Q$8, $S$25*$C417+$T$25,
  $C417&lt;$Q$9, $S$26*$C417+$T$26,
  $C417&lt;$Q$10, $S$27*$C417+$T$27,
  $C417&lt;$Q$11,  $S$28*$C417+$T$28,
  $C417&lt;$Q$12, $S$29*$C417+$T$29,
  $S$30*$C417+$T$30
)</f>
        <v>1.1000000000000001</v>
      </c>
    </row>
    <row r="418" spans="2:19">
      <c r="F418" cm="1">
        <f t="array" ref="F418">_xlfn.SWITCH(TRUE,
  $C418&lt;$Q$5,  $S$22*$C418+$T$22,
  $C418&lt;$Q$6,  $S$23*$C418+$T$23,
  $C418&lt;$Q$7,  $S$24*$C418+$T$24,
  $C418&lt;$Q$8, $S$25*$C418+$T$25,
  $C418&lt;$Q$9, $S$26*$C418+$T$26,
  $C418&lt;$Q$10, $S$27*$C418+$T$27,
  $C418&lt;$Q$11,  $S$28*$C418+$T$28,
  $C418&lt;$Q$12, $S$29*$C418+$T$29,
  $S$30*$C418+$T$30
)</f>
        <v>1.1000000000000001</v>
      </c>
    </row>
    <row r="425" spans="2:19">
      <c r="C425" s="49" t="s">
        <v>582</v>
      </c>
      <c r="D425" s="147">
        <v>1</v>
      </c>
      <c r="E425" s="147" t="s">
        <v>583</v>
      </c>
      <c r="F425" s="147" t="s">
        <v>568</v>
      </c>
      <c r="G425" s="147" t="s">
        <v>584</v>
      </c>
      <c r="H425" s="147" t="s">
        <v>585</v>
      </c>
      <c r="I425" s="147" t="s">
        <v>586</v>
      </c>
      <c r="J425" s="147" t="s">
        <v>587</v>
      </c>
      <c r="K425" s="147" t="s">
        <v>588</v>
      </c>
      <c r="L425" s="147" t="s">
        <v>589</v>
      </c>
      <c r="M425" s="147" t="s">
        <v>590</v>
      </c>
      <c r="N425" s="147" t="s">
        <v>591</v>
      </c>
      <c r="O425" s="147" t="s">
        <v>592</v>
      </c>
      <c r="P425" s="147" t="s">
        <v>593</v>
      </c>
      <c r="Q425" s="147" t="s">
        <v>594</v>
      </c>
      <c r="R425" s="147" t="s">
        <v>595</v>
      </c>
      <c r="S425" s="147" t="s">
        <v>596</v>
      </c>
    </row>
    <row r="426" spans="2:19">
      <c r="B426" t="s">
        <v>955</v>
      </c>
      <c r="C426" s="147" t="s">
        <v>566</v>
      </c>
      <c r="D426" s="49">
        <f>主翼翼型1!T5</f>
        <v>0.58555787305165952</v>
      </c>
      <c r="E426" s="49">
        <f>主翼翼型1!U5</f>
        <v>0.11298911044070417</v>
      </c>
      <c r="F426" s="49">
        <f>主翼翼型1!V5</f>
        <v>6.7184677929664916E-4</v>
      </c>
      <c r="G426" s="49">
        <f>主翼翼型1!W5</f>
        <v>7.1352595937579006E-5</v>
      </c>
      <c r="H426" s="49">
        <f>主翼翼型1!X5</f>
        <v>-3.4253837456565824E-5</v>
      </c>
      <c r="I426" s="49">
        <f>主翼翼型1!Y5</f>
        <v>-4.0727815124879385E-6</v>
      </c>
      <c r="J426" s="49">
        <f>主翼翼型1!Z5</f>
        <v>3.1008295704995209E-7</v>
      </c>
      <c r="K426" s="49">
        <f>主翼翼型1!AA5</f>
        <v>2.3374562021729315E-8</v>
      </c>
      <c r="L426" s="49">
        <f>主翼翼型1!AB5</f>
        <v>-1.4653756095986528E-9</v>
      </c>
      <c r="M426" s="49">
        <f>主翼翼型1!AC5</f>
        <v>-2.6886424160114602E-11</v>
      </c>
      <c r="N426" s="49">
        <f>主翼翼型1!AD5</f>
        <v>1.7459297343902192E-12</v>
      </c>
      <c r="O426" s="49">
        <f>主翼翼型1!AE5</f>
        <v>0</v>
      </c>
      <c r="P426" s="49">
        <f>主翼翼型1!AF5</f>
        <v>0</v>
      </c>
      <c r="Q426" s="49">
        <f>主翼翼型1!AG5</f>
        <v>0</v>
      </c>
      <c r="R426" s="49">
        <f>主翼翼型1!AH5</f>
        <v>0</v>
      </c>
      <c r="S426" s="49">
        <f>主翼翼型1!AI5</f>
        <v>0</v>
      </c>
    </row>
    <row r="427" spans="2:19">
      <c r="C427" s="147" t="s">
        <v>597</v>
      </c>
      <c r="D427" s="49">
        <f>主翼翼型1!T6</f>
        <v>-9.7897106267391176E-2</v>
      </c>
      <c r="E427" s="49">
        <f>主翼翼型1!U6</f>
        <v>-5.8490224672072735E-3</v>
      </c>
      <c r="F427" s="49">
        <f>主翼翼型1!V6</f>
        <v>9.6556228400237825E-4</v>
      </c>
      <c r="G427" s="49">
        <f>主翼翼型1!W6</f>
        <v>-2.5638805709258377E-6</v>
      </c>
      <c r="H427" s="49">
        <f>主翼翼型1!X6</f>
        <v>-1.1634480761170202E-6</v>
      </c>
      <c r="I427" s="49">
        <f>主翼翼型1!Y6</f>
        <v>1.5226465531212546E-7</v>
      </c>
      <c r="J427" s="49">
        <f>主翼翼型1!Z6</f>
        <v>2.7159649338487528E-8</v>
      </c>
      <c r="K427" s="49">
        <f>主翼翼型1!AA6</f>
        <v>-2.345840728097363E-9</v>
      </c>
      <c r="L427" s="49">
        <f>主翼翼型1!AB6</f>
        <v>-9.3414127887416901E-11</v>
      </c>
      <c r="M427" s="49">
        <f>主翼翼型1!AC6</f>
        <v>1.2285723628928948E-11</v>
      </c>
      <c r="N427" s="49">
        <f>主翼翼型1!AD6</f>
        <v>-2.7637441133603145E-13</v>
      </c>
      <c r="O427" s="49">
        <f>主翼翼型1!AE6</f>
        <v>0.10590862744747484</v>
      </c>
      <c r="P427" s="49">
        <f>主翼翼型1!AF6</f>
        <v>-2.6173417429460104E-2</v>
      </c>
      <c r="Q427" s="49">
        <f>主翼翼型1!AG6</f>
        <v>1.9068330221681184E-3</v>
      </c>
      <c r="R427" s="49">
        <f>主翼翼型1!AH6</f>
        <v>9.599353886337752E-4</v>
      </c>
      <c r="S427" s="49">
        <f>主翼翼型1!AI6</f>
        <v>-1.5149591208578748E-4</v>
      </c>
    </row>
    <row r="428" spans="2:19">
      <c r="C428" s="147" t="s">
        <v>567</v>
      </c>
      <c r="D428" s="49">
        <f>主翼翼型1!T7</f>
        <v>-0.42388711234752241</v>
      </c>
      <c r="E428" s="49">
        <f>主翼翼型1!U7</f>
        <v>8.093097810770767E-3</v>
      </c>
      <c r="F428" s="49">
        <f>主翼翼型1!V7</f>
        <v>-4.8476173731885121E-4</v>
      </c>
      <c r="G428" s="49">
        <f>主翼翼型1!W7</f>
        <v>-8.8466835005442621E-6</v>
      </c>
      <c r="H428" s="49">
        <f>主翼翼型1!X7</f>
        <v>9.6338115580381256E-6</v>
      </c>
      <c r="I428" s="49">
        <f>主翼翼型1!Y7</f>
        <v>4.4541123455313405E-7</v>
      </c>
      <c r="J428" s="49">
        <f>主翼翼型1!Z7</f>
        <v>-1.2412994954585833E-7</v>
      </c>
      <c r="K428" s="49">
        <f>主翼翼型1!AA7</f>
        <v>4.2180832142378502E-10</v>
      </c>
      <c r="L428" s="49">
        <f>主翼翼型1!AB7</f>
        <v>5.64708421255448E-10</v>
      </c>
      <c r="M428" s="49">
        <f>主翼翼型1!AC7</f>
        <v>-2.6068406243976864E-11</v>
      </c>
      <c r="N428" s="49">
        <f>主翼翼型1!AD7</f>
        <v>3.4383640963008599E-13</v>
      </c>
      <c r="O428" s="49">
        <f>主翼翼型1!AE7</f>
        <v>0.16581573720610307</v>
      </c>
      <c r="P428" s="49">
        <f>主翼翼型1!AF7</f>
        <v>-3.0556185931817945E-2</v>
      </c>
      <c r="Q428" s="49">
        <f>主翼翼型1!AG7</f>
        <v>1.8582638373967914E-3</v>
      </c>
      <c r="R428" s="49">
        <f>主翼翼型1!AH7</f>
        <v>-1.4883655386506215E-3</v>
      </c>
      <c r="S428" s="49">
        <f>主翼翼型1!AI7</f>
        <v>5.9388274880353479E-5</v>
      </c>
    </row>
    <row r="429" spans="2:19">
      <c r="B429" t="s">
        <v>956</v>
      </c>
      <c r="C429" s="147" t="s">
        <v>566</v>
      </c>
      <c r="D429" s="49">
        <f>主翼翼型2!T5</f>
        <v>0.62486730789014278</v>
      </c>
      <c r="E429" s="49">
        <f>主翼翼型2!U5</f>
        <v>0.11212602806578069</v>
      </c>
      <c r="F429" s="49">
        <f>主翼翼型2!V5</f>
        <v>2.925128405475088E-4</v>
      </c>
      <c r="G429" s="49">
        <f>主翼翼型2!W5</f>
        <v>6.7318435054291768E-5</v>
      </c>
      <c r="H429" s="49">
        <f>主翼翼型2!X5</f>
        <v>-2.7668816603542483E-5</v>
      </c>
      <c r="I429" s="49">
        <f>主翼翼型2!Y5</f>
        <v>-3.7529157198842012E-6</v>
      </c>
      <c r="J429" s="49">
        <f>主翼翼型2!Z5</f>
        <v>2.6291289163660801E-7</v>
      </c>
      <c r="K429" s="49">
        <f>主翼翼型2!AA5</f>
        <v>2.1137891478566365E-8</v>
      </c>
      <c r="L429" s="49">
        <f>主翼翼型2!AB5</f>
        <v>-1.2923534347556439E-9</v>
      </c>
      <c r="M429" s="49">
        <f>主翼翼型2!AC5</f>
        <v>-2.2571524017763865E-11</v>
      </c>
      <c r="N429" s="49">
        <f>主翼翼型2!AD5</f>
        <v>1.4897149148139084E-12</v>
      </c>
      <c r="O429" s="49">
        <f>主翼翼型2!AE5</f>
        <v>0</v>
      </c>
      <c r="P429" s="49">
        <f>主翼翼型2!AF5</f>
        <v>0</v>
      </c>
      <c r="Q429" s="49">
        <f>主翼翼型2!AG5</f>
        <v>0</v>
      </c>
      <c r="R429" s="49">
        <f>主翼翼型2!AH5</f>
        <v>0</v>
      </c>
      <c r="S429" s="49">
        <f>主翼翼型2!AI5</f>
        <v>0</v>
      </c>
    </row>
    <row r="430" spans="2:19">
      <c r="C430" s="147" t="s">
        <v>597</v>
      </c>
      <c r="D430" s="49">
        <f>主翼翼型2!T6</f>
        <v>4.4188483683081592E-2</v>
      </c>
      <c r="E430" s="49">
        <f>主翼翼型2!U6</f>
        <v>-7.0586425282384872E-3</v>
      </c>
      <c r="F430" s="49">
        <f>主翼翼型2!V6</f>
        <v>1.0868095031240802E-3</v>
      </c>
      <c r="G430" s="49">
        <f>主翼翼型2!W6</f>
        <v>-1.5010531798747028E-6</v>
      </c>
      <c r="H430" s="49">
        <f>主翼翼型2!X6</f>
        <v>-4.7525184145440303E-7</v>
      </c>
      <c r="I430" s="49">
        <f>主翼翼型2!Y6</f>
        <v>1.0583695952656532E-7</v>
      </c>
      <c r="J430" s="49">
        <f>主翼翼型2!Z6</f>
        <v>1.5765514561369035E-8</v>
      </c>
      <c r="K430" s="49">
        <f>主翼翼型2!AA6</f>
        <v>-1.5467979893667304E-9</v>
      </c>
      <c r="L430" s="49">
        <f>主翼翼型2!AB6</f>
        <v>-4.5462446361609883E-11</v>
      </c>
      <c r="M430" s="49">
        <f>主翼翼型2!AC6</f>
        <v>7.2152388445220255E-12</v>
      </c>
      <c r="N430" s="49">
        <f>主翼翼型2!AD6</f>
        <v>-1.6843150214409363E-13</v>
      </c>
      <c r="O430" s="49">
        <f>主翼翼型2!AE6</f>
        <v>3.5165346336624312E-2</v>
      </c>
      <c r="P430" s="49">
        <f>主翼翼型2!AF6</f>
        <v>-1.4520754308691769E-2</v>
      </c>
      <c r="Q430" s="49">
        <f>主翼翼型2!AG6</f>
        <v>1.2716720181294471E-3</v>
      </c>
      <c r="R430" s="49">
        <f>主翼翼型2!AH6</f>
        <v>1.1695571667698394E-3</v>
      </c>
      <c r="S430" s="49">
        <f>主翼翼型2!AI6</f>
        <v>-1.7285074039234062E-4</v>
      </c>
    </row>
    <row r="431" spans="2:19">
      <c r="C431" s="147" t="s">
        <v>567</v>
      </c>
      <c r="D431" s="49">
        <f>主翼翼型2!T7</f>
        <v>-0.52402261298844877</v>
      </c>
      <c r="E431" s="49">
        <f>主翼翼型2!U7</f>
        <v>8.4179952497403492E-3</v>
      </c>
      <c r="F431" s="49">
        <f>主翼翼型2!V7</f>
        <v>-4.2413123132110025E-4</v>
      </c>
      <c r="G431" s="49">
        <f>主翼翼型2!W7</f>
        <v>8.4688686270320282E-6</v>
      </c>
      <c r="H431" s="49">
        <f>主翼翼型2!X7</f>
        <v>6.2975426749961182E-6</v>
      </c>
      <c r="I431" s="49">
        <f>主翼翼型2!Y7</f>
        <v>1.187309388069292E-7</v>
      </c>
      <c r="J431" s="49">
        <f>主翼翼型2!Z7</f>
        <v>-6.4667586141895132E-8</v>
      </c>
      <c r="K431" s="49">
        <f>主翼翼型2!AA7</f>
        <v>4.7985072683884067E-10</v>
      </c>
      <c r="L431" s="49">
        <f>主翼翼型2!AB7</f>
        <v>2.3741511896911341E-10</v>
      </c>
      <c r="M431" s="49">
        <f>主翼翼型2!AC7</f>
        <v>-9.4528149892886105E-12</v>
      </c>
      <c r="N431" s="49">
        <f>主翼翼型2!AD7</f>
        <v>8.9750594822220334E-14</v>
      </c>
      <c r="O431" s="49">
        <f>主翼翼型2!AE7</f>
        <v>0.1833419853861929</v>
      </c>
      <c r="P431" s="49">
        <f>主翼翼型2!AF7</f>
        <v>-2.8100817580721991E-2</v>
      </c>
      <c r="Q431" s="49">
        <f>主翼翼型2!AG7</f>
        <v>1.3727004981231709E-3</v>
      </c>
      <c r="R431" s="49">
        <f>主翼翼型2!AH7</f>
        <v>-1.540740091354742E-3</v>
      </c>
      <c r="S431" s="49">
        <f>主翼翼型2!AI7</f>
        <v>6.417383224652137E-5</v>
      </c>
    </row>
    <row r="432" spans="2:19">
      <c r="B432" t="s">
        <v>946</v>
      </c>
      <c r="C432" s="147" t="s">
        <v>566</v>
      </c>
      <c r="D432" s="49">
        <f>主翼翼型3!T5</f>
        <v>0.39686508855221359</v>
      </c>
      <c r="E432" s="49">
        <f>主翼翼型3!U5</f>
        <v>0.113843810347154</v>
      </c>
      <c r="F432" s="49">
        <f>主翼翼型3!V5</f>
        <v>2.9276023619042603E-4</v>
      </c>
      <c r="G432" s="49">
        <f>主翼翼型3!W5</f>
        <v>-7.7811518991310354E-5</v>
      </c>
      <c r="H432" s="49">
        <f>主翼翼型3!X5</f>
        <v>-1.5079961798220703E-5</v>
      </c>
      <c r="I432" s="49">
        <f>主翼翼型3!Y5</f>
        <v>-9.6909310776807971E-8</v>
      </c>
      <c r="J432" s="49">
        <f>主翼翼型3!Z5</f>
        <v>7.6265099270947341E-8</v>
      </c>
      <c r="K432" s="49">
        <f>主翼翼型3!AA5</f>
        <v>-1.6293344404527428E-9</v>
      </c>
      <c r="L432" s="49">
        <f>主翼翼型3!AB5</f>
        <v>-2.2684129766999399E-11</v>
      </c>
      <c r="M432" s="49">
        <f>主翼翼型3!AC5</f>
        <v>-4.732106478336137E-12</v>
      </c>
      <c r="N432" s="49">
        <f>主翼翼型3!AD5</f>
        <v>2.189173936331361E-13</v>
      </c>
      <c r="O432" s="49">
        <f>主翼翼型3!AE5</f>
        <v>0</v>
      </c>
      <c r="P432" s="49">
        <f>主翼翼型3!AF5</f>
        <v>0</v>
      </c>
      <c r="Q432" s="49">
        <f>主翼翼型3!AG5</f>
        <v>0</v>
      </c>
      <c r="R432" s="49">
        <f>主翼翼型3!AH5</f>
        <v>0</v>
      </c>
      <c r="S432" s="49">
        <f>主翼翼型3!AI5</f>
        <v>0</v>
      </c>
    </row>
    <row r="433" spans="2:19">
      <c r="C433" s="147" t="s">
        <v>597</v>
      </c>
      <c r="D433" s="49">
        <f>主翼翼型3!T6</f>
        <v>0.21538780223796011</v>
      </c>
      <c r="E433" s="49">
        <f>主翼翼型3!U6</f>
        <v>-4.9116414864050252E-3</v>
      </c>
      <c r="F433" s="49">
        <f>主翼翼型3!V6</f>
        <v>9.6461803429076824E-4</v>
      </c>
      <c r="G433" s="49">
        <f>主翼翼型3!W6</f>
        <v>1.0205359500872517E-5</v>
      </c>
      <c r="H433" s="49">
        <f>主翼翼型3!X6</f>
        <v>-3.3467739531323353E-7</v>
      </c>
      <c r="I433" s="49">
        <f>主翼翼型3!Y6</f>
        <v>-1.3756842738485428E-7</v>
      </c>
      <c r="J433" s="49">
        <f>主翼翼型3!Z6</f>
        <v>8.3756320958298171E-9</v>
      </c>
      <c r="K433" s="49">
        <f>主翼翼型3!AA6</f>
        <v>5.3647003257026362E-10</v>
      </c>
      <c r="L433" s="49">
        <f>主翼翼型3!AB6</f>
        <v>-3.3563344999081503E-11</v>
      </c>
      <c r="M433" s="49">
        <f>主翼翼型3!AC6</f>
        <v>1.910085933340279E-14</v>
      </c>
      <c r="N433" s="49">
        <f>主翼翼型3!AD6</f>
        <v>1.139139907395922E-14</v>
      </c>
      <c r="O433" s="49">
        <f>主翼翼型3!AE6</f>
        <v>-5.2063882853515375E-2</v>
      </c>
      <c r="P433" s="49">
        <f>主翼翼型3!AF6</f>
        <v>3.9275816520679458E-5</v>
      </c>
      <c r="Q433" s="49">
        <f>主翼翼型3!AG6</f>
        <v>4.7294297048208327E-4</v>
      </c>
      <c r="R433" s="49">
        <f>主翼翼型3!AH6</f>
        <v>7.756671753346014E-4</v>
      </c>
      <c r="S433" s="49">
        <f>主翼翼型3!AI6</f>
        <v>-1.481948189298954E-4</v>
      </c>
    </row>
    <row r="434" spans="2:19">
      <c r="C434" s="147" t="s">
        <v>567</v>
      </c>
      <c r="D434" s="49">
        <f>主翼翼型3!T7</f>
        <v>-0.42492666890858222</v>
      </c>
      <c r="E434" s="49">
        <f>主翼翼型3!U7</f>
        <v>1.4321079707234875E-2</v>
      </c>
      <c r="F434" s="49">
        <f>主翼翼型3!V7</f>
        <v>-4.7623659372709662E-4</v>
      </c>
      <c r="G434" s="49">
        <f>主翼翼型3!W7</f>
        <v>-2.3147404191102458E-6</v>
      </c>
      <c r="H434" s="49">
        <f>主翼翼型3!X7</f>
        <v>1.6611779543344418E-6</v>
      </c>
      <c r="I434" s="49">
        <f>主翼翼型3!Y7</f>
        <v>2.4655166868353882E-7</v>
      </c>
      <c r="J434" s="49">
        <f>主翼翼型3!Z7</f>
        <v>-1.5705136942136027E-8</v>
      </c>
      <c r="K434" s="49">
        <f>主翼翼型3!AA7</f>
        <v>-1.4037185580893538E-9</v>
      </c>
      <c r="L434" s="49">
        <f>主翼翼型3!AB7</f>
        <v>7.6634626434975749E-11</v>
      </c>
      <c r="M434" s="49">
        <f>主翼翼型3!AC7</f>
        <v>1.0162770779871759E-12</v>
      </c>
      <c r="N434" s="49">
        <f>主翼翼型3!AD7</f>
        <v>-6.7121802823361982E-14</v>
      </c>
      <c r="O434" s="49">
        <f>主翼翼型3!AE7</f>
        <v>9.3869240202734863E-2</v>
      </c>
      <c r="P434" s="49">
        <f>主翼翼型3!AF7</f>
        <v>-1.8534844348527513E-3</v>
      </c>
      <c r="Q434" s="49">
        <f>主翼翼型3!AG7</f>
        <v>-7.144797769578704E-4</v>
      </c>
      <c r="R434" s="49">
        <f>主翼翼型3!AH7</f>
        <v>-2.4955289300262391E-3</v>
      </c>
      <c r="S434" s="49">
        <f>主翼翼型3!AI7</f>
        <v>8.2413839375234437E-5</v>
      </c>
    </row>
    <row r="435" spans="2:19">
      <c r="B435" t="s">
        <v>950</v>
      </c>
      <c r="C435" s="147" t="s">
        <v>566</v>
      </c>
      <c r="D435" s="49">
        <f>主翼翼型4!T5</f>
        <v>0.50386537195569536</v>
      </c>
      <c r="E435" s="49">
        <f>主翼翼型4!U5</f>
        <v>0.11517317579948429</v>
      </c>
      <c r="F435" s="49">
        <f>主翼翼型4!V5</f>
        <v>2.3729276956796644E-3</v>
      </c>
      <c r="G435" s="49">
        <f>主翼翼型4!W5</f>
        <v>-4.5445260061831244E-5</v>
      </c>
      <c r="H435" s="49">
        <f>主翼翼型4!X5</f>
        <v>-9.3668290578557159E-5</v>
      </c>
      <c r="I435" s="49">
        <f>主翼翼型4!Y5</f>
        <v>-2.1308472233472673E-6</v>
      </c>
      <c r="J435" s="49">
        <f>主翼翼型4!Z5</f>
        <v>9.5309704973939763E-7</v>
      </c>
      <c r="K435" s="49">
        <f>主翼翼型4!AA5</f>
        <v>-6.9963948368240522E-9</v>
      </c>
      <c r="L435" s="49">
        <f>主翼翼型4!AB5</f>
        <v>-3.570547399869297E-9</v>
      </c>
      <c r="M435" s="49">
        <f>主翼翼型4!AC5</f>
        <v>1.4164862889628918E-10</v>
      </c>
      <c r="N435" s="49">
        <f>主翼翼型4!AD5</f>
        <v>-1.2982893050026378E-12</v>
      </c>
      <c r="O435" s="49">
        <f>主翼翼型4!AE5</f>
        <v>0</v>
      </c>
      <c r="P435" s="49">
        <f>主翼翼型4!AF5</f>
        <v>0</v>
      </c>
      <c r="Q435" s="49">
        <f>主翼翼型4!AG5</f>
        <v>0</v>
      </c>
      <c r="R435" s="49">
        <f>主翼翼型4!AH5</f>
        <v>0</v>
      </c>
      <c r="S435" s="49">
        <f>主翼翼型4!AI5</f>
        <v>0</v>
      </c>
    </row>
    <row r="436" spans="2:19">
      <c r="C436" s="147" t="s">
        <v>597</v>
      </c>
      <c r="D436" s="49">
        <f>主翼翼型4!T6</f>
        <v>0.17148275289129128</v>
      </c>
      <c r="E436" s="49">
        <f>主翼翼型4!U6</f>
        <v>-2.714776602150634E-3</v>
      </c>
      <c r="F436" s="49">
        <f>主翼翼型4!V6</f>
        <v>8.0055176042167402E-4</v>
      </c>
      <c r="G436" s="49">
        <f>主翼翼型4!W6</f>
        <v>-5.754352118348657E-6</v>
      </c>
      <c r="H436" s="49">
        <f>主翼翼型4!X6</f>
        <v>1.7850360635602802E-6</v>
      </c>
      <c r="I436" s="49">
        <f>主翼翼型4!Y6</f>
        <v>2.4859769174037835E-7</v>
      </c>
      <c r="J436" s="49">
        <f>主翼翼型4!Z6</f>
        <v>-1.3990725256919326E-8</v>
      </c>
      <c r="K436" s="49">
        <f>主翼翼型4!AA6</f>
        <v>-1.6478176242693576E-9</v>
      </c>
      <c r="L436" s="49">
        <f>主翼翼型4!AB6</f>
        <v>8.5007988914851212E-11</v>
      </c>
      <c r="M436" s="49">
        <f>主翼翼型4!AC6</f>
        <v>2.1079649439325808E-12</v>
      </c>
      <c r="N436" s="49">
        <f>主翼翼型4!AD6</f>
        <v>-1.1433941926667621E-13</v>
      </c>
      <c r="O436" s="49">
        <f>主翼翼型4!AE6</f>
        <v>-4.2664837074197805E-2</v>
      </c>
      <c r="P436" s="49">
        <f>主翼翼型4!AF6</f>
        <v>6.7708798174980975E-4</v>
      </c>
      <c r="Q436" s="49">
        <f>主翼翼型4!AG6</f>
        <v>3.1541674451592282E-4</v>
      </c>
      <c r="R436" s="49">
        <f>主翼翼型4!AH6</f>
        <v>4.1681970965499934E-4</v>
      </c>
      <c r="S436" s="49">
        <f>主翼翼型4!AI6</f>
        <v>-1.3622206605793454E-4</v>
      </c>
    </row>
    <row r="437" spans="2:19">
      <c r="C437" s="147" t="s">
        <v>567</v>
      </c>
      <c r="D437" s="49">
        <f>主翼翼型4!T7</f>
        <v>-0.32224524264417864</v>
      </c>
      <c r="E437" s="49">
        <f>主翼翼型4!U7</f>
        <v>3.1308081334259917E-3</v>
      </c>
      <c r="F437" s="49">
        <f>主翼翼型4!V7</f>
        <v>-6.3363802672032274E-4</v>
      </c>
      <c r="G437" s="49">
        <f>主翼翼型4!W7</f>
        <v>6.8337512979873619E-5</v>
      </c>
      <c r="H437" s="49">
        <f>主翼翼型4!X7</f>
        <v>1.6537294930076717E-5</v>
      </c>
      <c r="I437" s="49">
        <f>主翼翼型4!Y7</f>
        <v>-9.2223226253483383E-7</v>
      </c>
      <c r="J437" s="49">
        <f>主翼翼型4!Z7</f>
        <v>-1.7197289629672352E-7</v>
      </c>
      <c r="K437" s="49">
        <f>主翼翼型4!AA7</f>
        <v>1.0747491178857151E-8</v>
      </c>
      <c r="L437" s="49">
        <f>主翼翼型4!AB7</f>
        <v>4.9842928079220825E-10</v>
      </c>
      <c r="M437" s="49">
        <f>主翼翼型4!AC7</f>
        <v>-5.0157385333177268E-11</v>
      </c>
      <c r="N437" s="49">
        <f>主翼翼型4!AD7</f>
        <v>9.9272155773933074E-13</v>
      </c>
      <c r="O437" s="49">
        <f>主翼翼型4!AE7</f>
        <v>0.10705990395800717</v>
      </c>
      <c r="P437" s="49">
        <f>主翼翼型4!AF7</f>
        <v>-1.7395485735556371E-2</v>
      </c>
      <c r="Q437" s="49">
        <f>主翼翼型4!AG7</f>
        <v>9.0859453886682983E-4</v>
      </c>
      <c r="R437" s="49">
        <f>主翼翼型4!AH7</f>
        <v>-8.6755857117190235E-4</v>
      </c>
      <c r="S437" s="49">
        <f>主翼翼型4!AI7</f>
        <v>4.6318589987418566E-5</v>
      </c>
    </row>
    <row r="438" spans="2:19">
      <c r="B438" t="s">
        <v>951</v>
      </c>
      <c r="C438" s="147" t="s">
        <v>566</v>
      </c>
      <c r="D438" s="49">
        <f>主翼翼型5!T5</f>
        <v>0.50386537195569536</v>
      </c>
      <c r="E438" s="49">
        <f>主翼翼型5!U5</f>
        <v>0.11517317579948429</v>
      </c>
      <c r="F438" s="49">
        <f>主翼翼型5!V5</f>
        <v>2.3729276956796644E-3</v>
      </c>
      <c r="G438" s="49">
        <f>主翼翼型5!W5</f>
        <v>-4.5445260061831244E-5</v>
      </c>
      <c r="H438" s="49">
        <f>主翼翼型5!X5</f>
        <v>-9.3668290578557159E-5</v>
      </c>
      <c r="I438" s="49">
        <f>主翼翼型5!Y5</f>
        <v>-2.1308472233472673E-6</v>
      </c>
      <c r="J438" s="49">
        <f>主翼翼型5!Z5</f>
        <v>9.5309704973939763E-7</v>
      </c>
      <c r="K438" s="49">
        <f>主翼翼型5!AA5</f>
        <v>-6.9963948368240522E-9</v>
      </c>
      <c r="L438" s="49">
        <f>主翼翼型5!AB5</f>
        <v>-3.570547399869297E-9</v>
      </c>
      <c r="M438" s="49">
        <f>主翼翼型5!AC5</f>
        <v>1.4164862889628918E-10</v>
      </c>
      <c r="N438" s="49">
        <f>主翼翼型5!AD5</f>
        <v>-1.2982893050026378E-12</v>
      </c>
      <c r="O438" s="49">
        <f>主翼翼型5!AE5</f>
        <v>0</v>
      </c>
      <c r="P438" s="49">
        <f>主翼翼型5!AF5</f>
        <v>0</v>
      </c>
      <c r="Q438" s="49">
        <f>主翼翼型5!AG5</f>
        <v>0</v>
      </c>
      <c r="R438" s="49">
        <f>主翼翼型5!AH5</f>
        <v>0</v>
      </c>
      <c r="S438" s="49">
        <f>主翼翼型5!AI5</f>
        <v>0</v>
      </c>
    </row>
    <row r="439" spans="2:19">
      <c r="C439" s="147" t="s">
        <v>597</v>
      </c>
      <c r="D439" s="49">
        <f>主翼翼型5!T6</f>
        <v>0.17148275289129128</v>
      </c>
      <c r="E439" s="49">
        <f>主翼翼型5!U6</f>
        <v>-2.714776602150634E-3</v>
      </c>
      <c r="F439" s="49">
        <f>主翼翼型5!V6</f>
        <v>8.0055176042167402E-4</v>
      </c>
      <c r="G439" s="49">
        <f>主翼翼型5!W6</f>
        <v>-5.754352118348657E-6</v>
      </c>
      <c r="H439" s="49">
        <f>主翼翼型5!X6</f>
        <v>1.7850360635602802E-6</v>
      </c>
      <c r="I439" s="49">
        <f>主翼翼型5!Y6</f>
        <v>2.4859769174037835E-7</v>
      </c>
      <c r="J439" s="49">
        <f>主翼翼型5!Z6</f>
        <v>-1.3990725256919326E-8</v>
      </c>
      <c r="K439" s="49">
        <f>主翼翼型5!AA6</f>
        <v>-1.6478176242693576E-9</v>
      </c>
      <c r="L439" s="49">
        <f>主翼翼型5!AB6</f>
        <v>8.5007988914851212E-11</v>
      </c>
      <c r="M439" s="49">
        <f>主翼翼型5!AC6</f>
        <v>2.1079649439325808E-12</v>
      </c>
      <c r="N439" s="49">
        <f>主翼翼型5!AD6</f>
        <v>-1.1433941926667621E-13</v>
      </c>
      <c r="O439" s="49">
        <f>主翼翼型5!AE6</f>
        <v>-4.2664837074197805E-2</v>
      </c>
      <c r="P439" s="49">
        <f>主翼翼型5!AF6</f>
        <v>6.7708798174980975E-4</v>
      </c>
      <c r="Q439" s="49">
        <f>主翼翼型5!AG6</f>
        <v>3.1541674451592282E-4</v>
      </c>
      <c r="R439" s="49">
        <f>主翼翼型5!AH6</f>
        <v>4.1681970965499934E-4</v>
      </c>
      <c r="S439" s="49">
        <f>主翼翼型5!AI6</f>
        <v>-1.3622206605793454E-4</v>
      </c>
    </row>
    <row r="440" spans="2:19">
      <c r="C440" s="147" t="s">
        <v>567</v>
      </c>
      <c r="D440" s="49">
        <f>主翼翼型5!T7</f>
        <v>-0.32224524264417864</v>
      </c>
      <c r="E440" s="49">
        <f>主翼翼型5!U7</f>
        <v>3.1308081334259917E-3</v>
      </c>
      <c r="F440" s="49">
        <f>主翼翼型5!V7</f>
        <v>-6.3363802672032274E-4</v>
      </c>
      <c r="G440" s="49">
        <f>主翼翼型5!W7</f>
        <v>6.8337512979873619E-5</v>
      </c>
      <c r="H440" s="49">
        <f>主翼翼型5!X7</f>
        <v>1.6537294930076717E-5</v>
      </c>
      <c r="I440" s="49">
        <f>主翼翼型5!Y7</f>
        <v>-9.2223226253483383E-7</v>
      </c>
      <c r="J440" s="49">
        <f>主翼翼型5!Z7</f>
        <v>-1.7197289629672352E-7</v>
      </c>
      <c r="K440" s="49">
        <f>主翼翼型5!AA7</f>
        <v>1.0747491178857151E-8</v>
      </c>
      <c r="L440" s="49">
        <f>主翼翼型5!AB7</f>
        <v>4.9842928079220825E-10</v>
      </c>
      <c r="M440" s="49">
        <f>主翼翼型5!AC7</f>
        <v>-5.0157385333177268E-11</v>
      </c>
      <c r="N440" s="49">
        <f>主翼翼型5!AD7</f>
        <v>9.9272155773933074E-13</v>
      </c>
      <c r="O440" s="49">
        <f>主翼翼型5!AE7</f>
        <v>0.10705990395800717</v>
      </c>
      <c r="P440" s="49">
        <f>主翼翼型5!AF7</f>
        <v>-1.7395485735556371E-2</v>
      </c>
      <c r="Q440" s="49">
        <f>主翼翼型5!AG7</f>
        <v>9.0859453886682983E-4</v>
      </c>
      <c r="R440" s="49">
        <f>主翼翼型5!AH7</f>
        <v>-8.6755857117190235E-4</v>
      </c>
      <c r="S440" s="49">
        <f>主翼翼型5!AI7</f>
        <v>4.6318589987418566E-5</v>
      </c>
    </row>
  </sheetData>
  <mergeCells count="12">
    <mergeCell ref="L66:M66"/>
    <mergeCell ref="L59:M59"/>
    <mergeCell ref="B16:D16"/>
    <mergeCell ref="B2:C2"/>
    <mergeCell ref="K2:N2"/>
    <mergeCell ref="S3:T3"/>
    <mergeCell ref="L20:M20"/>
    <mergeCell ref="B35:D35"/>
    <mergeCell ref="L39:M39"/>
    <mergeCell ref="B55:D55"/>
    <mergeCell ref="L27:M27"/>
    <mergeCell ref="L46:M46"/>
  </mergeCells>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0" r:id="rId3" name="Button 10">
              <controlPr defaultSize="0" print="0" autoFill="0" autoPict="0" macro="[0]!TR797_1">
                <anchor moveWithCells="1">
                  <from>
                    <xdr:col>0</xdr:col>
                    <xdr:colOff>657225</xdr:colOff>
                    <xdr:row>16</xdr:row>
                    <xdr:rowOff>228600</xdr:rowOff>
                  </from>
                  <to>
                    <xdr:col>2</xdr:col>
                    <xdr:colOff>0</xdr:colOff>
                    <xdr:row>18</xdr:row>
                    <xdr:rowOff>0</xdr:rowOff>
                  </to>
                </anchor>
              </controlPr>
            </control>
          </mc:Choice>
        </mc:AlternateContent>
        <mc:AlternateContent xmlns:mc="http://schemas.openxmlformats.org/markup-compatibility/2006">
          <mc:Choice Requires="x14">
            <control shapeId="40975" r:id="rId4" name="Button 15">
              <controlPr defaultSize="0" print="0" autoFill="0" autoPict="0" macro="[0]!TR797_2">
                <anchor moveWithCells="1">
                  <from>
                    <xdr:col>0</xdr:col>
                    <xdr:colOff>657225</xdr:colOff>
                    <xdr:row>35</xdr:row>
                    <xdr:rowOff>228600</xdr:rowOff>
                  </from>
                  <to>
                    <xdr:col>2</xdr:col>
                    <xdr:colOff>0</xdr:colOff>
                    <xdr:row>37</xdr:row>
                    <xdr:rowOff>0</xdr:rowOff>
                  </to>
                </anchor>
              </controlPr>
            </control>
          </mc:Choice>
        </mc:AlternateContent>
        <mc:AlternateContent xmlns:mc="http://schemas.openxmlformats.org/markup-compatibility/2006">
          <mc:Choice Requires="x14">
            <control shapeId="40983" r:id="rId5" name="Button 23">
              <controlPr defaultSize="0" print="0" autoFill="0" autoPict="0" macro="[0]!TR797_ALL">
                <anchor moveWithCells="1" sizeWithCells="1">
                  <from>
                    <xdr:col>5</xdr:col>
                    <xdr:colOff>752475</xdr:colOff>
                    <xdr:row>1</xdr:row>
                    <xdr:rowOff>0</xdr:rowOff>
                  </from>
                  <to>
                    <xdr:col>7</xdr:col>
                    <xdr:colOff>657225</xdr:colOff>
                    <xdr:row>2</xdr:row>
                    <xdr:rowOff>19050</xdr:rowOff>
                  </to>
                </anchor>
              </controlPr>
            </control>
          </mc:Choice>
        </mc:AlternateContent>
        <mc:AlternateContent xmlns:mc="http://schemas.openxmlformats.org/markup-compatibility/2006">
          <mc:Choice Requires="x14">
            <control shapeId="40971" r:id="rId6" name="Button 11">
              <controlPr defaultSize="0" print="0" autoFill="0" autoPict="0" macro="[0]!LLT_1">
                <anchor moveWithCells="1">
                  <from>
                    <xdr:col>2</xdr:col>
                    <xdr:colOff>9525</xdr:colOff>
                    <xdr:row>16</xdr:row>
                    <xdr:rowOff>228600</xdr:rowOff>
                  </from>
                  <to>
                    <xdr:col>3</xdr:col>
                    <xdr:colOff>0</xdr:colOff>
                    <xdr:row>18</xdr:row>
                    <xdr:rowOff>0</xdr:rowOff>
                  </to>
                </anchor>
              </controlPr>
            </control>
          </mc:Choice>
        </mc:AlternateContent>
        <mc:AlternateContent xmlns:mc="http://schemas.openxmlformats.org/markup-compatibility/2006">
          <mc:Choice Requires="x14">
            <control shapeId="40976" r:id="rId7" name="Button 16">
              <controlPr defaultSize="0" print="0" autoFill="0" autoPict="0" macro="[0]!LLT_2">
                <anchor moveWithCells="1">
                  <from>
                    <xdr:col>2</xdr:col>
                    <xdr:colOff>9525</xdr:colOff>
                    <xdr:row>35</xdr:row>
                    <xdr:rowOff>228600</xdr:rowOff>
                  </from>
                  <to>
                    <xdr:col>3</xdr:col>
                    <xdr:colOff>0</xdr:colOff>
                    <xdr:row>37</xdr:row>
                    <xdr:rowOff>0</xdr:rowOff>
                  </to>
                </anchor>
              </controlPr>
            </control>
          </mc:Choice>
        </mc:AlternateContent>
        <mc:AlternateContent xmlns:mc="http://schemas.openxmlformats.org/markup-compatibility/2006">
          <mc:Choice Requires="x14">
            <control shapeId="40979" r:id="rId8" name="Button 19">
              <controlPr defaultSize="0" print="0" autoFill="0" autoPict="0" macro="[0]!TR797_3">
                <anchor moveWithCells="1">
                  <from>
                    <xdr:col>0</xdr:col>
                    <xdr:colOff>657225</xdr:colOff>
                    <xdr:row>55</xdr:row>
                    <xdr:rowOff>228600</xdr:rowOff>
                  </from>
                  <to>
                    <xdr:col>2</xdr:col>
                    <xdr:colOff>19050</xdr:colOff>
                    <xdr:row>57</xdr:row>
                    <xdr:rowOff>28575</xdr:rowOff>
                  </to>
                </anchor>
              </controlPr>
            </control>
          </mc:Choice>
        </mc:AlternateContent>
        <mc:AlternateContent xmlns:mc="http://schemas.openxmlformats.org/markup-compatibility/2006">
          <mc:Choice Requires="x14">
            <control shapeId="40980" r:id="rId9" name="Button 20">
              <controlPr defaultSize="0" print="0" autoFill="0" autoPict="0" macro="[0]!LLT_3">
                <anchor moveWithCells="1">
                  <from>
                    <xdr:col>2</xdr:col>
                    <xdr:colOff>9525</xdr:colOff>
                    <xdr:row>55</xdr:row>
                    <xdr:rowOff>228600</xdr:rowOff>
                  </from>
                  <to>
                    <xdr:col>3</xdr:col>
                    <xdr:colOff>0</xdr:colOff>
                    <xdr:row>57</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18CAE-6658-49E7-A9D0-BD3F7C04D388}">
  <sheetPr codeName="Sheet11">
    <tabColor theme="5" tint="0.79998168889431442"/>
  </sheetPr>
  <dimension ref="B3:CU145"/>
  <sheetViews>
    <sheetView topLeftCell="C4" zoomScale="89" workbookViewId="0">
      <selection activeCell="O52" sqref="O52"/>
    </sheetView>
  </sheetViews>
  <sheetFormatPr defaultRowHeight="18.75"/>
  <cols>
    <col min="4" max="4" width="11" bestFit="1" customWidth="1"/>
    <col min="5" max="5" width="9.5" bestFit="1" customWidth="1"/>
    <col min="6" max="6" width="9.375" bestFit="1" customWidth="1"/>
    <col min="7" max="7" width="11" customWidth="1"/>
    <col min="8" max="9" width="10" customWidth="1"/>
    <col min="10" max="13" width="10.125" customWidth="1"/>
    <col min="14" max="14" width="9.5" bestFit="1" customWidth="1"/>
    <col min="15" max="15" width="9.625" customWidth="1"/>
    <col min="16" max="16" width="9.375" bestFit="1" customWidth="1"/>
    <col min="17" max="17" width="9.875" customWidth="1"/>
    <col min="18" max="18" width="9.5" bestFit="1" customWidth="1"/>
    <col min="19" max="19" width="9.875" customWidth="1"/>
    <col min="20" max="20" width="9.375" bestFit="1" customWidth="1"/>
    <col min="21" max="21" width="9.125" bestFit="1" customWidth="1"/>
    <col min="22" max="22" width="9.375" bestFit="1" customWidth="1"/>
    <col min="23" max="26" width="12.75" bestFit="1" customWidth="1"/>
    <col min="27" max="27" width="15.375" bestFit="1" customWidth="1"/>
    <col min="28" max="28" width="12.75" bestFit="1" customWidth="1"/>
    <col min="29" max="29" width="13.5" bestFit="1" customWidth="1"/>
    <col min="30" max="30" width="16.75" bestFit="1" customWidth="1"/>
    <col min="31" max="31" width="20" bestFit="1" customWidth="1"/>
    <col min="32" max="32" width="15.75" bestFit="1" customWidth="1"/>
    <col min="33" max="33" width="11.125" bestFit="1" customWidth="1"/>
    <col min="34" max="34" width="14.625" bestFit="1" customWidth="1"/>
    <col min="35" max="40" width="9.125" bestFit="1" customWidth="1"/>
    <col min="49" max="49" width="11.25" bestFit="1" customWidth="1"/>
    <col min="50" max="51" width="9.125" bestFit="1" customWidth="1"/>
    <col min="57" max="58" width="9.125" bestFit="1" customWidth="1"/>
  </cols>
  <sheetData>
    <row r="3" spans="2:28" ht="20.25" thickBot="1">
      <c r="B3" s="282" t="s">
        <v>928</v>
      </c>
      <c r="C3" s="282"/>
      <c r="D3" s="23" t="s">
        <v>929</v>
      </c>
      <c r="E3" s="23"/>
      <c r="G3" s="234" t="s">
        <v>604</v>
      </c>
      <c r="H3" s="23"/>
      <c r="I3" s="23"/>
      <c r="J3" s="23"/>
      <c r="K3" s="23"/>
      <c r="L3" s="23"/>
      <c r="M3" s="23"/>
      <c r="N3" s="23"/>
      <c r="Q3" s="235" t="s">
        <v>437</v>
      </c>
      <c r="W3" s="235" t="s">
        <v>970</v>
      </c>
    </row>
    <row r="4" spans="2:28">
      <c r="B4" s="2" t="s">
        <v>260</v>
      </c>
      <c r="C4" s="2" t="s">
        <v>261</v>
      </c>
      <c r="D4" s="2" t="s">
        <v>262</v>
      </c>
      <c r="E4" s="2" t="s">
        <v>263</v>
      </c>
      <c r="G4" s="2" t="s">
        <v>615</v>
      </c>
      <c r="H4" s="2" t="s">
        <v>616</v>
      </c>
      <c r="I4" s="2" t="s">
        <v>617</v>
      </c>
      <c r="J4" s="2" t="s">
        <v>618</v>
      </c>
      <c r="Q4" s="49" t="s">
        <v>448</v>
      </c>
      <c r="R4" s="49"/>
      <c r="S4" s="49">
        <v>27</v>
      </c>
      <c r="T4" s="49" t="s">
        <v>387</v>
      </c>
      <c r="W4" s="266" t="s">
        <v>971</v>
      </c>
      <c r="X4" s="267" t="s">
        <v>972</v>
      </c>
      <c r="Y4" s="267" cm="1">
        <f t="array" ref="Y4">SUMIF($J$48:$J$150,"0番",$BY$48:$BY$150)*2
+0.5*SUMPRODUCT(
  ($J$48:$J$150="端リブ") *
  ( ($J$47:$J$149="0番") + ($J$49:$J$151="0番") ),
  $BY$48:$BY$150
)*2</f>
        <v>9.1390000000000011</v>
      </c>
      <c r="Z4" s="267" t="s">
        <v>320</v>
      </c>
      <c r="AA4" s="268" t="s">
        <v>1156</v>
      </c>
      <c r="AB4" t="s">
        <v>1155</v>
      </c>
    </row>
    <row r="5" spans="2:28">
      <c r="B5" s="6" t="s">
        <v>937</v>
      </c>
      <c r="C5" s="6" t="s">
        <v>570</v>
      </c>
      <c r="D5" s="6">
        <f>主翼翼型1!R14</f>
        <v>2.0621022799361244</v>
      </c>
      <c r="E5" s="6" t="s">
        <v>145</v>
      </c>
      <c r="G5" s="158">
        <v>1</v>
      </c>
      <c r="H5" s="87">
        <f>'主翼(型紙出力)'!AB4</f>
        <v>-0.65</v>
      </c>
      <c r="I5" s="87">
        <f>'主翼(型紙出力)'!AC4</f>
        <v>4</v>
      </c>
      <c r="J5" s="87">
        <f>'主翼(型紙出力)'!AD4</f>
        <v>4</v>
      </c>
      <c r="Q5" s="49" t="s">
        <v>440</v>
      </c>
      <c r="R5" s="49"/>
      <c r="S5" s="49">
        <v>1500</v>
      </c>
      <c r="T5" s="49" t="s">
        <v>387</v>
      </c>
      <c r="W5" s="63"/>
      <c r="X5" s="49" t="s">
        <v>784</v>
      </c>
      <c r="Y5" s="143">
        <v>9.1389999999999993</v>
      </c>
      <c r="Z5" s="49" t="s">
        <v>320</v>
      </c>
      <c r="AA5" s="65"/>
    </row>
    <row r="6" spans="2:28" ht="19.5" thickBot="1">
      <c r="B6" s="6"/>
      <c r="C6" s="6" t="s">
        <v>571</v>
      </c>
      <c r="D6" s="6">
        <f>主翼翼型1!R15</f>
        <v>1.0086082435278714</v>
      </c>
      <c r="E6" s="6" t="s">
        <v>145</v>
      </c>
      <c r="G6" s="100">
        <v>2</v>
      </c>
      <c r="H6" s="87">
        <f>'主翼(型紙出力)'!AB5</f>
        <v>-0.27</v>
      </c>
      <c r="I6" s="87">
        <f>'主翼(型紙出力)'!AC5</f>
        <v>4</v>
      </c>
      <c r="J6" s="87">
        <f>'主翼(型紙出力)'!AD5</f>
        <v>4</v>
      </c>
      <c r="Q6" s="49" t="s">
        <v>965</v>
      </c>
      <c r="R6" s="49"/>
      <c r="S6" s="49">
        <v>85</v>
      </c>
      <c r="T6" s="49" t="s">
        <v>387</v>
      </c>
      <c r="W6" s="75"/>
      <c r="X6" s="76" t="s">
        <v>839</v>
      </c>
      <c r="Y6" s="269">
        <v>5.2012399718382607</v>
      </c>
      <c r="Z6" s="76" t="s">
        <v>320</v>
      </c>
      <c r="AA6" s="78">
        <f>Y5-Y4</f>
        <v>0</v>
      </c>
      <c r="AB6" t="s">
        <v>1154</v>
      </c>
    </row>
    <row r="7" spans="2:28">
      <c r="B7" s="6"/>
      <c r="C7" s="6" t="s">
        <v>572</v>
      </c>
      <c r="D7" s="6">
        <f>主翼翼型1!R16</f>
        <v>1.053494036408253</v>
      </c>
      <c r="E7" s="6" t="s">
        <v>145</v>
      </c>
      <c r="G7" s="158">
        <v>3</v>
      </c>
      <c r="H7" s="87">
        <f>'主翼(型紙出力)'!AB6</f>
        <v>-0.1</v>
      </c>
      <c r="I7" s="87">
        <f>'主翼(型紙出力)'!AC6</f>
        <v>4</v>
      </c>
      <c r="J7" s="87">
        <f>'主翼(型紙出力)'!AD6</f>
        <v>4</v>
      </c>
      <c r="Q7" s="49" t="s">
        <v>450</v>
      </c>
      <c r="R7" s="49"/>
      <c r="S7" s="49">
        <v>510</v>
      </c>
      <c r="T7" s="49" t="s">
        <v>387</v>
      </c>
      <c r="W7" s="266" t="s">
        <v>620</v>
      </c>
      <c r="X7" s="267" t="s">
        <v>972</v>
      </c>
      <c r="Y7" s="267" cm="1">
        <f t="array" ref="Y7">SUMIF($J$48:$J$136,"1番",$BY$48:$BY$136)+0.5*SUMPRODUCT(
  ($J$48:$J$136="端リブ") *
  ( ($J$47:$J$135="1番") + ($J$49:$J$137="1番") ),
  $BY$48:$BY$136
)</f>
        <v>6.0928497291743851</v>
      </c>
      <c r="Z7" s="267" t="s">
        <v>320</v>
      </c>
      <c r="AA7" s="268"/>
    </row>
    <row r="8" spans="2:28" ht="19.5" thickBot="1">
      <c r="B8" s="11"/>
      <c r="C8" s="11" t="s">
        <v>573</v>
      </c>
      <c r="D8" s="11">
        <f>主翼翼型1!R17</f>
        <v>9.8612125031690048E-2</v>
      </c>
      <c r="E8" s="11" t="s">
        <v>331</v>
      </c>
      <c r="G8" s="100">
        <v>4</v>
      </c>
      <c r="H8" s="87">
        <f>'主翼(型紙出力)'!AB7</f>
        <v>-1.4999999999999999E-2</v>
      </c>
      <c r="I8" s="87">
        <f>'主翼(型紙出力)'!AC7</f>
        <v>2</v>
      </c>
      <c r="J8" s="87">
        <f>'主翼(型紙出力)'!AD7</f>
        <v>5</v>
      </c>
      <c r="W8" s="63"/>
      <c r="X8" s="49" t="s">
        <v>973</v>
      </c>
      <c r="Y8" s="143">
        <v>5.7779999999999996</v>
      </c>
      <c r="Z8" s="49" t="s">
        <v>320</v>
      </c>
      <c r="AA8" s="65"/>
    </row>
    <row r="9" spans="2:28" ht="19.5" thickTop="1">
      <c r="B9" s="12" t="s">
        <v>938</v>
      </c>
      <c r="C9" s="6" t="s">
        <v>570</v>
      </c>
      <c r="D9" s="12">
        <f>主翼翼型2!R14</f>
        <v>2.0618246965228608</v>
      </c>
      <c r="E9" s="6" t="s">
        <v>145</v>
      </c>
      <c r="G9" s="158">
        <v>5</v>
      </c>
      <c r="H9" s="87">
        <f>'主翼(型紙出力)'!AB8</f>
        <v>0.01</v>
      </c>
      <c r="I9" s="87">
        <f>'主翼(型紙出力)'!AC8</f>
        <v>2</v>
      </c>
      <c r="J9" s="87">
        <f>'主翼(型紙出力)'!AD8</f>
        <v>5</v>
      </c>
      <c r="W9" s="63"/>
      <c r="X9" s="49" t="s">
        <v>974</v>
      </c>
      <c r="Y9" s="143">
        <v>5.7690000000000001</v>
      </c>
      <c r="Z9" s="49" t="s">
        <v>320</v>
      </c>
      <c r="AA9" s="65"/>
    </row>
    <row r="10" spans="2:28" ht="19.5" thickBot="1">
      <c r="B10" s="6"/>
      <c r="C10" s="6" t="s">
        <v>571</v>
      </c>
      <c r="D10" s="6">
        <f>主翼翼型2!R15</f>
        <v>1.010312251275346</v>
      </c>
      <c r="E10" s="6" t="s">
        <v>145</v>
      </c>
      <c r="G10" s="100">
        <v>6</v>
      </c>
      <c r="H10" s="87">
        <f>'主翼(型紙出力)'!AB9</f>
        <v>0.15</v>
      </c>
      <c r="I10" s="87">
        <f>'主翼(型紙出力)'!AC9</f>
        <v>4</v>
      </c>
      <c r="J10" s="87">
        <f>'主翼(型紙出力)'!AD9</f>
        <v>4</v>
      </c>
      <c r="W10" s="75"/>
      <c r="X10" s="76" t="s">
        <v>839</v>
      </c>
      <c r="Y10" s="269"/>
      <c r="Z10" s="76" t="s">
        <v>320</v>
      </c>
      <c r="AA10" s="78">
        <f>(Y8+Y9)/2-Y7</f>
        <v>-0.31934972917438476</v>
      </c>
    </row>
    <row r="11" spans="2:28">
      <c r="B11" s="6"/>
      <c r="C11" s="6" t="s">
        <v>572</v>
      </c>
      <c r="D11" s="6">
        <f>主翼翼型2!R16</f>
        <v>1.0515124452475149</v>
      </c>
      <c r="E11" s="6" t="s">
        <v>145</v>
      </c>
      <c r="G11" s="100">
        <v>7</v>
      </c>
      <c r="H11" s="93"/>
      <c r="I11" s="93"/>
      <c r="J11" s="93"/>
      <c r="W11" s="266" t="s">
        <v>975</v>
      </c>
      <c r="X11" s="267" t="s">
        <v>972</v>
      </c>
      <c r="Y11" s="267" cm="1">
        <f t="array" ref="Y11">SUMIF($J$48:$J$136,"2番",$BY$48:$BY$136)+0.5*SUMPRODUCT(
  ($J$48:$J$136="端リブ") *
  ( ($J$47:$J$135="2番") + ($J$49:$J$137="2番") ),
  $BY$48:$BY$136
)</f>
        <v>4.455088868927656</v>
      </c>
      <c r="Z11" s="267" t="s">
        <v>320</v>
      </c>
      <c r="AA11" s="268"/>
    </row>
    <row r="12" spans="2:28" ht="19.5" thickBot="1">
      <c r="B12" s="11"/>
      <c r="C12" s="11" t="s">
        <v>573</v>
      </c>
      <c r="D12" s="11">
        <f>主翼翼型2!R17</f>
        <v>9.514019775796001E-2</v>
      </c>
      <c r="E12" s="11" t="s">
        <v>331</v>
      </c>
      <c r="G12" s="100">
        <v>8</v>
      </c>
      <c r="H12" s="93"/>
      <c r="I12" s="93"/>
      <c r="J12" s="93"/>
      <c r="W12" s="63"/>
      <c r="X12" s="49" t="s">
        <v>973</v>
      </c>
      <c r="Y12" s="143">
        <v>4.6550000000000002</v>
      </c>
      <c r="Z12" s="49" t="s">
        <v>320</v>
      </c>
      <c r="AA12" s="65"/>
    </row>
    <row r="13" spans="2:28" ht="19.5" thickTop="1">
      <c r="B13" s="12" t="s">
        <v>946</v>
      </c>
      <c r="C13" s="12" t="s">
        <v>570</v>
      </c>
      <c r="D13" s="12">
        <f>主翼翼型3!R14</f>
        <v>2.052682113434074</v>
      </c>
      <c r="E13" s="12" t="s">
        <v>145</v>
      </c>
      <c r="G13" s="100">
        <v>9</v>
      </c>
      <c r="H13" s="93"/>
      <c r="I13" s="93"/>
      <c r="J13" s="93"/>
      <c r="W13" s="63"/>
      <c r="X13" s="49" t="s">
        <v>974</v>
      </c>
      <c r="Y13" s="143">
        <v>4.609</v>
      </c>
      <c r="Z13" s="49" t="s">
        <v>320</v>
      </c>
      <c r="AA13" s="65"/>
    </row>
    <row r="14" spans="2:28" ht="19.5" thickBot="1">
      <c r="B14" s="6"/>
      <c r="C14" s="6" t="s">
        <v>571</v>
      </c>
      <c r="D14" s="12">
        <f>主翼翼型3!R15</f>
        <v>0.99520549269468939</v>
      </c>
      <c r="E14" s="6" t="s">
        <v>145</v>
      </c>
      <c r="W14" s="75"/>
      <c r="X14" s="76" t="s">
        <v>839</v>
      </c>
      <c r="Y14" s="269">
        <v>0.13915530590583192</v>
      </c>
      <c r="Z14" s="76" t="s">
        <v>320</v>
      </c>
      <c r="AA14" s="78">
        <f>(Y12+Y13)/2-Y11</f>
        <v>0.17691113107234369</v>
      </c>
    </row>
    <row r="15" spans="2:28">
      <c r="B15" s="6"/>
      <c r="C15" s="6" t="s">
        <v>572</v>
      </c>
      <c r="D15" s="12">
        <f>主翼翼型3!R16</f>
        <v>1.0574766207393846</v>
      </c>
      <c r="E15" s="6" t="s">
        <v>145</v>
      </c>
      <c r="W15" s="266" t="s">
        <v>976</v>
      </c>
      <c r="X15" s="267" t="s">
        <v>972</v>
      </c>
      <c r="Y15" s="267" cm="1">
        <f t="array" ref="Y15">SUMIF($J$48:$J$150,"3番",$BY$48:$BY$150)+0.5*SUMPRODUCT(
  ($J$48:$J$150="端リブ") *
  ( ($J$47:$J$149="3番") + ($J$49:$J$151="3番") ),
  $BY$48:$BY$150
)</f>
        <v>2.5365469271279135</v>
      </c>
      <c r="Z15" s="267" t="s">
        <v>320</v>
      </c>
      <c r="AA15" s="268"/>
    </row>
    <row r="16" spans="2:28" ht="19.5" thickBot="1">
      <c r="B16" s="11"/>
      <c r="C16" s="11" t="s">
        <v>573</v>
      </c>
      <c r="D16" s="11">
        <f>主翼翼型3!R17</f>
        <v>8.8635438466025007E-2</v>
      </c>
      <c r="E16" s="11" t="s">
        <v>331</v>
      </c>
      <c r="G16" s="235" t="s">
        <v>959</v>
      </c>
      <c r="Q16" s="236" t="s">
        <v>969</v>
      </c>
      <c r="W16" s="63"/>
      <c r="X16" s="49" t="s">
        <v>974</v>
      </c>
      <c r="Y16" s="143">
        <v>2.5859999999999999</v>
      </c>
      <c r="Z16" s="49" t="s">
        <v>320</v>
      </c>
      <c r="AA16" s="65"/>
    </row>
    <row r="17" spans="2:27" ht="19.5" thickTop="1">
      <c r="B17" s="12" t="s">
        <v>950</v>
      </c>
      <c r="C17" s="12" t="s">
        <v>570</v>
      </c>
      <c r="D17" s="12">
        <f>主翼翼型4!R14</f>
        <v>2.0572775258919584</v>
      </c>
      <c r="E17" s="12" t="s">
        <v>145</v>
      </c>
      <c r="Q17" s="49" t="s">
        <v>619</v>
      </c>
      <c r="R17" s="49">
        <f>COUNTIF($J$48:$J$136,Q17)</f>
        <v>9</v>
      </c>
      <c r="W17" s="63"/>
      <c r="X17" s="49" t="s">
        <v>973</v>
      </c>
      <c r="Y17" s="143">
        <v>2.5369999999999999</v>
      </c>
      <c r="Z17" s="49" t="s">
        <v>320</v>
      </c>
      <c r="AA17" s="65"/>
    </row>
    <row r="18" spans="2:27" ht="19.5" thickBot="1">
      <c r="B18" s="6"/>
      <c r="C18" s="6" t="s">
        <v>571</v>
      </c>
      <c r="D18" s="12">
        <f>主翼翼型4!R15</f>
        <v>0</v>
      </c>
      <c r="E18" s="6" t="s">
        <v>145</v>
      </c>
      <c r="Q18" s="49" t="s">
        <v>620</v>
      </c>
      <c r="R18" s="49">
        <f>COUNTIF($J$48:$J$136,Q18)</f>
        <v>22</v>
      </c>
      <c r="W18" s="75"/>
      <c r="X18" s="76" t="s">
        <v>839</v>
      </c>
      <c r="Y18" s="269">
        <v>-0.15442189425839414</v>
      </c>
      <c r="Z18" s="76" t="s">
        <v>320</v>
      </c>
      <c r="AA18" s="78">
        <f>(Y16+Y17)/2-Y15</f>
        <v>2.4953072872086146E-2</v>
      </c>
    </row>
    <row r="19" spans="2:27">
      <c r="B19" s="6"/>
      <c r="C19" s="6" t="s">
        <v>572</v>
      </c>
      <c r="D19" s="12">
        <f>主翼翼型4!R16</f>
        <v>1.060612749185772</v>
      </c>
      <c r="E19" s="6" t="s">
        <v>145</v>
      </c>
      <c r="G19" t="s">
        <v>977</v>
      </c>
      <c r="I19">
        <v>0.8</v>
      </c>
      <c r="J19" t="s">
        <v>978</v>
      </c>
      <c r="Q19" s="49" t="s">
        <v>621</v>
      </c>
      <c r="R19" s="49">
        <f>COUNTIF($J$48:$J$136,Q19)</f>
        <v>23</v>
      </c>
      <c r="W19" s="266" t="s">
        <v>948</v>
      </c>
      <c r="X19" s="267" t="s">
        <v>972</v>
      </c>
      <c r="Y19" s="267">
        <v>0.2</v>
      </c>
      <c r="Z19" s="267"/>
      <c r="AA19" s="268"/>
    </row>
    <row r="20" spans="2:27" ht="19.5" thickBot="1">
      <c r="B20" s="11"/>
      <c r="C20" s="11" t="s">
        <v>573</v>
      </c>
      <c r="D20" s="12">
        <f>主翼翼型4!R17</f>
        <v>9.7279767878340015E-2</v>
      </c>
      <c r="E20" s="11" t="s">
        <v>331</v>
      </c>
      <c r="I20" s="239"/>
      <c r="Q20" s="49" t="s">
        <v>622</v>
      </c>
      <c r="R20" s="49">
        <f>COUNTIF($J$48:$J$136,Q20)</f>
        <v>23</v>
      </c>
      <c r="W20" s="63"/>
      <c r="X20" s="49" t="s">
        <v>974</v>
      </c>
      <c r="Y20" s="143">
        <v>0.2</v>
      </c>
      <c r="Z20" s="49"/>
      <c r="AA20" s="65"/>
    </row>
    <row r="21" spans="2:27" ht="19.5" thickTop="1">
      <c r="B21" s="12" t="s">
        <v>951</v>
      </c>
      <c r="C21" s="12" t="s">
        <v>570</v>
      </c>
      <c r="D21" s="12">
        <f>主翼翼型5!R14</f>
        <v>2.0572775258919584</v>
      </c>
      <c r="E21" s="12" t="s">
        <v>145</v>
      </c>
      <c r="Q21" s="49" t="s">
        <v>948</v>
      </c>
      <c r="R21" s="49">
        <f>COUNTIF($J$48:$J$136,Q21)</f>
        <v>7</v>
      </c>
      <c r="W21" s="63"/>
      <c r="X21" s="49" t="s">
        <v>973</v>
      </c>
      <c r="Y21" s="143">
        <v>0.2</v>
      </c>
      <c r="Z21" s="49"/>
      <c r="AA21" s="65"/>
    </row>
    <row r="22" spans="2:27" ht="19.5" thickBot="1">
      <c r="B22" s="6"/>
      <c r="C22" s="6" t="s">
        <v>571</v>
      </c>
      <c r="D22" s="12">
        <f>主翼翼型5!R15</f>
        <v>0.99666477670618647</v>
      </c>
      <c r="E22" s="6" t="s">
        <v>145</v>
      </c>
      <c r="W22" s="75"/>
      <c r="X22" s="76" t="s">
        <v>839</v>
      </c>
      <c r="Y22" s="269"/>
      <c r="Z22" s="76"/>
      <c r="AA22" s="78"/>
    </row>
    <row r="23" spans="2:27">
      <c r="B23" s="6"/>
      <c r="C23" s="6" t="s">
        <v>572</v>
      </c>
      <c r="D23" s="12">
        <f>主翼翼型5!R16</f>
        <v>1.060612749185772</v>
      </c>
      <c r="E23" s="6" t="s">
        <v>145</v>
      </c>
    </row>
    <row r="24" spans="2:27" ht="19.5" thickBot="1">
      <c r="B24" s="11"/>
      <c r="C24" s="11" t="s">
        <v>573</v>
      </c>
      <c r="D24" s="12">
        <f>主翼翼型5!R17</f>
        <v>9.7279767878340015E-2</v>
      </c>
      <c r="E24" s="11" t="s">
        <v>331</v>
      </c>
    </row>
    <row r="25" spans="2:27" ht="19.5" thickTop="1">
      <c r="B25" s="12" t="s">
        <v>924</v>
      </c>
      <c r="C25" s="12" t="s">
        <v>477</v>
      </c>
      <c r="D25" s="87">
        <f>7*10^-3</f>
        <v>7.0000000000000001E-3</v>
      </c>
      <c r="E25" s="12" t="s">
        <v>145</v>
      </c>
      <c r="G25" s="283" t="s">
        <v>979</v>
      </c>
      <c r="H25" s="283"/>
      <c r="I25" s="283"/>
      <c r="J25" s="23"/>
      <c r="K25" s="23"/>
      <c r="L25" s="23"/>
      <c r="M25" s="23"/>
    </row>
    <row r="26" spans="2:27">
      <c r="B26" s="12" t="s">
        <v>961</v>
      </c>
      <c r="C26" s="12" t="s">
        <v>477</v>
      </c>
      <c r="D26" s="87">
        <v>1.4999999999999999E-2</v>
      </c>
      <c r="E26" s="12"/>
      <c r="G26" s="2" t="s">
        <v>260</v>
      </c>
      <c r="H26" s="2" t="s">
        <v>261</v>
      </c>
      <c r="I26" s="2" t="s">
        <v>262</v>
      </c>
      <c r="J26" s="2" t="s">
        <v>263</v>
      </c>
      <c r="K26" s="23"/>
      <c r="L26" s="23"/>
      <c r="M26" s="23"/>
    </row>
    <row r="27" spans="2:27">
      <c r="B27" s="6" t="s">
        <v>575</v>
      </c>
      <c r="C27" s="6" t="s">
        <v>477</v>
      </c>
      <c r="D27" s="93">
        <f>1.5*10^-3</f>
        <v>1.5E-3</v>
      </c>
      <c r="E27" s="6" t="s">
        <v>145</v>
      </c>
      <c r="G27" s="6" t="s">
        <v>99</v>
      </c>
      <c r="H27" s="6" t="s">
        <v>264</v>
      </c>
      <c r="I27" s="240">
        <f>Y4+Y6+(Y7+Y10)*2+(Y11+Y14)*2+(Y15+Y18)*2+(Y19+Y22)*2</f>
        <v>40.878677845593046</v>
      </c>
      <c r="J27" s="6" t="s">
        <v>320</v>
      </c>
      <c r="K27" s="23"/>
      <c r="L27" s="23"/>
      <c r="M27" s="23"/>
    </row>
    <row r="28" spans="2:27">
      <c r="B28" s="12" t="s">
        <v>925</v>
      </c>
      <c r="C28" s="12" t="s">
        <v>930</v>
      </c>
      <c r="D28" s="206">
        <v>4</v>
      </c>
      <c r="E28" s="12" t="s">
        <v>142</v>
      </c>
      <c r="G28" s="6" t="s">
        <v>110</v>
      </c>
      <c r="H28" s="6" t="s">
        <v>980</v>
      </c>
      <c r="I28" s="240">
        <v>0</v>
      </c>
      <c r="J28" s="6" t="s">
        <v>145</v>
      </c>
      <c r="K28" s="23"/>
      <c r="L28" s="23"/>
      <c r="M28" s="23"/>
    </row>
    <row r="29" spans="2:27">
      <c r="B29" s="6"/>
      <c r="C29" s="6" t="s">
        <v>898</v>
      </c>
      <c r="D29" s="93">
        <f>SUMPRODUCT(I5:I13,J5:J13)*10^-6</f>
        <v>8.3999999999999995E-5</v>
      </c>
      <c r="E29" s="6" t="s">
        <v>331</v>
      </c>
      <c r="G29" s="6" t="s">
        <v>840</v>
      </c>
      <c r="H29" s="6" t="s">
        <v>981</v>
      </c>
      <c r="I29" s="240">
        <v>0</v>
      </c>
      <c r="J29" s="6" t="s">
        <v>145</v>
      </c>
      <c r="K29" s="23"/>
      <c r="L29" s="23"/>
      <c r="M29" s="23"/>
    </row>
    <row r="30" spans="2:27">
      <c r="B30" s="6" t="s">
        <v>926</v>
      </c>
      <c r="C30" s="6" t="s">
        <v>477</v>
      </c>
      <c r="D30" s="93">
        <f>0.45*10^-3</f>
        <v>4.5000000000000004E-4</v>
      </c>
      <c r="E30" s="6" t="s">
        <v>145</v>
      </c>
      <c r="G30" s="6"/>
      <c r="H30" s="6" t="s">
        <v>982</v>
      </c>
      <c r="I30" s="240">
        <f>SUMPRODUCT(F48:F136,BY48:BY136)/SUM(BY48:BY136)</f>
        <v>0.2209277010614735</v>
      </c>
      <c r="J30" s="6" t="s">
        <v>145</v>
      </c>
      <c r="K30" s="23"/>
      <c r="L30" s="23"/>
      <c r="M30" s="23"/>
    </row>
    <row r="31" spans="2:27">
      <c r="B31" s="6" t="s">
        <v>927</v>
      </c>
      <c r="C31" s="6" t="s">
        <v>617</v>
      </c>
      <c r="D31" s="93">
        <v>0.02</v>
      </c>
      <c r="E31" s="6" t="s">
        <v>145</v>
      </c>
      <c r="G31" s="6" t="s">
        <v>209</v>
      </c>
      <c r="H31" s="6" t="s">
        <v>983</v>
      </c>
      <c r="I31" s="240">
        <f>SUMPRODUCT(BY48:BY136,CA48:CA136)*2</f>
        <v>1124.3497931191357</v>
      </c>
      <c r="J31" s="6" t="s">
        <v>984</v>
      </c>
      <c r="K31" s="23"/>
      <c r="L31" s="23"/>
      <c r="M31" s="23"/>
    </row>
    <row r="32" spans="2:27">
      <c r="B32" s="6"/>
      <c r="C32" s="6" t="s">
        <v>477</v>
      </c>
      <c r="D32" s="93">
        <f>0.5*10^-3</f>
        <v>5.0000000000000001E-4</v>
      </c>
      <c r="E32" s="6" t="s">
        <v>145</v>
      </c>
      <c r="G32" s="6"/>
      <c r="H32" s="6" t="s">
        <v>985</v>
      </c>
      <c r="I32" s="240">
        <f>SUMPRODUCT(BY48:BY136,CB48:CB136)*2</f>
        <v>3.5947051751945902</v>
      </c>
      <c r="J32" s="6" t="s">
        <v>984</v>
      </c>
      <c r="K32" s="23"/>
      <c r="L32" s="23"/>
      <c r="M32" s="23"/>
    </row>
    <row r="33" spans="2:99">
      <c r="B33" s="6" t="s">
        <v>931</v>
      </c>
      <c r="C33" s="6" t="s">
        <v>932</v>
      </c>
      <c r="D33" s="93">
        <v>7.4999999999999997E-3</v>
      </c>
      <c r="E33" s="6" t="s">
        <v>320</v>
      </c>
      <c r="G33" s="6"/>
      <c r="H33" s="6" t="s">
        <v>986</v>
      </c>
      <c r="I33" s="240">
        <f>SUMPRODUCT(BY48:BY136,CC48:CC136)*2</f>
        <v>1120.7550879439411</v>
      </c>
      <c r="J33" s="6" t="s">
        <v>984</v>
      </c>
      <c r="K33" s="23"/>
      <c r="L33" s="23"/>
      <c r="M33" s="23"/>
    </row>
    <row r="34" spans="2:99">
      <c r="B34" s="45" t="s">
        <v>933</v>
      </c>
      <c r="C34" s="6" t="s">
        <v>934</v>
      </c>
      <c r="D34" s="93">
        <v>7.4999999999999997E-3</v>
      </c>
      <c r="E34" s="6" t="s">
        <v>320</v>
      </c>
      <c r="G34" s="6"/>
      <c r="H34" s="6" t="s">
        <v>987</v>
      </c>
      <c r="I34" s="240">
        <v>0</v>
      </c>
      <c r="J34" s="6" t="s">
        <v>988</v>
      </c>
      <c r="K34" s="23"/>
      <c r="L34" s="23"/>
      <c r="M34" s="23"/>
    </row>
    <row r="35" spans="2:99">
      <c r="B35" s="6" t="s">
        <v>935</v>
      </c>
      <c r="C35" s="6" t="s">
        <v>936</v>
      </c>
      <c r="D35" s="93">
        <v>0.03</v>
      </c>
      <c r="E35" s="6" t="s">
        <v>320</v>
      </c>
      <c r="G35" s="6"/>
      <c r="H35" s="6" t="s">
        <v>989</v>
      </c>
      <c r="I35" s="240">
        <v>0</v>
      </c>
      <c r="J35" s="6" t="s">
        <v>988</v>
      </c>
      <c r="K35" s="23"/>
      <c r="L35" s="23"/>
      <c r="M35" s="23"/>
    </row>
    <row r="36" spans="2:99">
      <c r="B36" s="6" t="s">
        <v>962</v>
      </c>
      <c r="C36" s="6" t="s">
        <v>963</v>
      </c>
      <c r="D36" s="93">
        <v>0</v>
      </c>
      <c r="E36" s="6" t="s">
        <v>320</v>
      </c>
      <c r="G36" s="6"/>
      <c r="H36" s="6" t="s">
        <v>990</v>
      </c>
      <c r="I36" s="240">
        <v>0</v>
      </c>
      <c r="J36" s="6" t="s">
        <v>988</v>
      </c>
      <c r="K36" s="23"/>
      <c r="L36" s="23"/>
      <c r="M36" s="23"/>
    </row>
    <row r="37" spans="2:99">
      <c r="B37" s="6" t="s">
        <v>964</v>
      </c>
      <c r="C37" s="49"/>
      <c r="D37" s="143">
        <f>(-'主翼(型紙出力)'!AG12+'主翼(型紙出力)'!AH12)/2 +0.1</f>
        <v>0.67499999999999993</v>
      </c>
      <c r="E37" s="49"/>
    </row>
    <row r="38" spans="2:99">
      <c r="B38" s="6" t="s">
        <v>968</v>
      </c>
      <c r="C38" s="49"/>
      <c r="D38" s="93">
        <v>0.1</v>
      </c>
      <c r="E38" s="6" t="s">
        <v>320</v>
      </c>
    </row>
    <row r="42" spans="2:99" ht="19.5" thickBot="1">
      <c r="B42" s="205"/>
      <c r="BA42" s="205"/>
      <c r="BB42" s="205"/>
      <c r="BC42" s="205"/>
      <c r="BD42" s="205"/>
      <c r="BE42" s="205"/>
      <c r="BF42" s="205"/>
      <c r="BG42" s="205"/>
      <c r="BH42" s="205"/>
      <c r="BI42" s="205"/>
      <c r="BJ42" s="205"/>
      <c r="BK42" s="205"/>
      <c r="BL42" s="205"/>
      <c r="BM42" s="205"/>
      <c r="BN42" s="205"/>
      <c r="BO42" s="205"/>
      <c r="BP42" s="205"/>
      <c r="BQ42" s="205"/>
      <c r="BR42" s="205"/>
      <c r="BS42" s="205"/>
      <c r="BT42" s="205"/>
      <c r="BU42" s="205"/>
      <c r="BV42" s="205"/>
      <c r="BW42" s="205"/>
      <c r="BX42" s="205"/>
      <c r="BY42" s="205"/>
      <c r="BZ42" s="205"/>
      <c r="CA42" s="205"/>
      <c r="CB42" s="205"/>
      <c r="CC42" s="205"/>
      <c r="CD42" s="205"/>
      <c r="CE42" s="205"/>
      <c r="CF42" s="205"/>
      <c r="CG42" s="205"/>
      <c r="CH42" s="205"/>
      <c r="CI42" s="205"/>
      <c r="CJ42" s="205"/>
      <c r="CK42" s="205"/>
      <c r="CL42" s="205"/>
      <c r="CM42" s="205"/>
      <c r="CN42" s="205"/>
      <c r="CO42" s="205"/>
      <c r="CP42" s="205"/>
      <c r="CQ42" s="205"/>
      <c r="CR42" s="205"/>
      <c r="CS42" s="205"/>
      <c r="CT42" s="205"/>
      <c r="CU42" s="205"/>
    </row>
    <row r="43" spans="2:99">
      <c r="B43" s="22"/>
      <c r="C43" s="43"/>
      <c r="D43" s="43"/>
      <c r="E43" s="43"/>
      <c r="F43" s="43"/>
      <c r="G43" s="43"/>
      <c r="H43" s="43"/>
      <c r="I43" s="43"/>
      <c r="J43" s="43"/>
      <c r="K43" s="43"/>
      <c r="L43" s="43"/>
      <c r="M43" s="43"/>
      <c r="N43" s="43"/>
      <c r="O43" s="43"/>
      <c r="P43" s="43"/>
      <c r="Q43" s="43"/>
      <c r="R43" s="43"/>
      <c r="S43" s="43"/>
      <c r="T43" s="43"/>
      <c r="U43" s="43"/>
      <c r="V43" s="43"/>
      <c r="W43" s="43"/>
      <c r="X43" s="43"/>
      <c r="Y43" s="43"/>
      <c r="Z43" s="43"/>
      <c r="AA43" s="43"/>
      <c r="AB43" s="43"/>
      <c r="AC43" s="43"/>
      <c r="AD43" s="43"/>
      <c r="AE43" s="43"/>
      <c r="AF43" s="43"/>
      <c r="AG43" s="43"/>
      <c r="AH43" s="43"/>
      <c r="AI43" s="43"/>
      <c r="AJ43" s="43"/>
      <c r="AK43" s="43"/>
      <c r="AL43" s="43"/>
      <c r="AM43" s="43"/>
      <c r="AN43" s="43"/>
      <c r="AO43" s="43"/>
      <c r="AP43" s="43"/>
      <c r="AQ43" s="43"/>
      <c r="AR43" s="43"/>
      <c r="AS43" s="43"/>
      <c r="AT43" s="43"/>
      <c r="AU43" s="43"/>
      <c r="AV43" s="43"/>
      <c r="AW43" s="43"/>
      <c r="AX43" s="43"/>
      <c r="AY43" s="43"/>
      <c r="AZ43" s="43"/>
      <c r="BA43" s="43"/>
      <c r="BB43" s="43"/>
      <c r="BC43" s="43"/>
      <c r="BD43" s="23"/>
      <c r="BE43" s="23"/>
      <c r="BF43" s="23"/>
    </row>
    <row r="44" spans="2:99">
      <c r="B44" s="22"/>
      <c r="C44" s="23"/>
      <c r="D44" s="23"/>
      <c r="E44" s="23"/>
      <c r="F44" s="23"/>
      <c r="G44" s="23"/>
      <c r="H44" s="23"/>
      <c r="I44" s="23"/>
      <c r="J44" s="23"/>
      <c r="K44" s="23"/>
      <c r="L44" s="23"/>
      <c r="M44" s="23"/>
      <c r="N44" s="23"/>
      <c r="O44" s="23"/>
      <c r="P44" s="23"/>
      <c r="Q44" s="23"/>
      <c r="R44" s="23"/>
      <c r="S44" s="23"/>
      <c r="T44" s="23"/>
      <c r="U44" s="23"/>
      <c r="V44" s="23"/>
      <c r="W44" s="23"/>
      <c r="X44" s="23" t="s">
        <v>614</v>
      </c>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t="s">
        <v>841</v>
      </c>
      <c r="BW44" s="6">
        <f>SUM(AU48:AU50)</f>
        <v>0</v>
      </c>
      <c r="BX44" s="6">
        <f>SUM(AW48:AW50)</f>
        <v>0</v>
      </c>
      <c r="BY44" s="6">
        <f>SUM(AX48:AX50)</f>
        <v>0</v>
      </c>
      <c r="BZ44" s="23"/>
      <c r="CA44" s="23" t="s">
        <v>209</v>
      </c>
      <c r="CB44" s="23"/>
      <c r="CC44" s="23"/>
    </row>
    <row r="45" spans="2:99">
      <c r="B45" s="22"/>
      <c r="C45" s="2" t="s">
        <v>435</v>
      </c>
      <c r="D45" s="2" t="s">
        <v>958</v>
      </c>
      <c r="E45" s="2" t="s">
        <v>1175</v>
      </c>
      <c r="F45" s="2" t="s">
        <v>991</v>
      </c>
      <c r="G45" s="2" t="s">
        <v>957</v>
      </c>
      <c r="H45" s="2" t="s">
        <v>823</v>
      </c>
      <c r="I45" s="2" t="s">
        <v>650</v>
      </c>
      <c r="J45" s="2" t="s">
        <v>960</v>
      </c>
      <c r="K45" s="2" t="s">
        <v>574</v>
      </c>
      <c r="L45" s="2" t="s">
        <v>992</v>
      </c>
      <c r="M45" s="2" t="s">
        <v>993</v>
      </c>
      <c r="N45" s="2" t="s">
        <v>937</v>
      </c>
      <c r="O45" s="2" t="s">
        <v>947</v>
      </c>
      <c r="P45" s="2" t="s">
        <v>949</v>
      </c>
      <c r="Q45" s="2" t="s">
        <v>947</v>
      </c>
      <c r="R45" s="2" t="s">
        <v>952</v>
      </c>
      <c r="S45" s="2" t="s">
        <v>947</v>
      </c>
      <c r="T45" s="2" t="s">
        <v>953</v>
      </c>
      <c r="U45" s="2" t="s">
        <v>947</v>
      </c>
      <c r="V45" s="2" t="s">
        <v>954</v>
      </c>
      <c r="W45" s="2" t="s">
        <v>947</v>
      </c>
      <c r="X45" s="152" t="s">
        <v>116</v>
      </c>
      <c r="Y45" s="152"/>
      <c r="Z45" s="152"/>
      <c r="AA45" s="152"/>
      <c r="AB45" s="152"/>
      <c r="AC45" s="152" t="s">
        <v>899</v>
      </c>
      <c r="AD45" s="152"/>
      <c r="AE45" s="152"/>
      <c r="AF45" s="152"/>
      <c r="AG45" s="152"/>
      <c r="AH45" s="152" t="s">
        <v>918</v>
      </c>
      <c r="AI45" s="152"/>
      <c r="AJ45" s="152"/>
      <c r="AK45" s="152"/>
      <c r="AL45" s="152"/>
      <c r="AM45" s="152"/>
      <c r="AN45" s="152"/>
      <c r="AO45" s="152"/>
      <c r="AP45" s="152" t="s">
        <v>919</v>
      </c>
      <c r="AQ45" s="152"/>
      <c r="AR45" s="152"/>
      <c r="AS45" s="152"/>
      <c r="AT45" s="152"/>
      <c r="AU45" s="152"/>
      <c r="AV45" s="152"/>
      <c r="AW45" s="152"/>
      <c r="AX45" s="152" t="s">
        <v>920</v>
      </c>
      <c r="AY45" s="152"/>
      <c r="AZ45" s="152"/>
      <c r="BA45" s="152"/>
      <c r="BB45" s="228"/>
      <c r="BC45" s="228"/>
      <c r="BD45" s="228"/>
      <c r="BE45" s="228"/>
      <c r="BF45" s="152" t="s">
        <v>921</v>
      </c>
      <c r="BG45" s="152"/>
      <c r="BH45" s="152"/>
      <c r="BI45" s="152"/>
      <c r="BJ45" s="228"/>
      <c r="BK45" s="228"/>
      <c r="BL45" s="228"/>
      <c r="BM45" s="228"/>
      <c r="BN45" s="228" t="s">
        <v>959</v>
      </c>
      <c r="BO45" s="228"/>
      <c r="BP45" s="228"/>
      <c r="BQ45" s="228"/>
      <c r="BR45" s="228"/>
      <c r="BS45" s="228"/>
      <c r="BT45" s="228"/>
      <c r="BU45" s="228"/>
      <c r="BV45" s="228" t="s">
        <v>948</v>
      </c>
      <c r="BW45" s="152" t="s">
        <v>922</v>
      </c>
      <c r="BX45" s="152" t="s">
        <v>923</v>
      </c>
      <c r="BY45" s="152" t="s">
        <v>841</v>
      </c>
      <c r="BZ45" s="23"/>
      <c r="CA45" s="152" t="s">
        <v>721</v>
      </c>
      <c r="CB45" s="152"/>
      <c r="CC45" s="152"/>
      <c r="CE45" s="147" t="s">
        <v>995</v>
      </c>
    </row>
    <row r="46" spans="2:99">
      <c r="B46" s="22"/>
      <c r="C46" s="6" t="s">
        <v>310</v>
      </c>
      <c r="D46" s="157" t="s">
        <v>142</v>
      </c>
      <c r="E46" s="157"/>
      <c r="F46" s="157"/>
      <c r="G46" s="157"/>
      <c r="H46" s="157"/>
      <c r="I46" s="157"/>
      <c r="J46" s="157"/>
      <c r="K46" s="157"/>
      <c r="L46" s="157"/>
      <c r="M46" s="157"/>
      <c r="N46" s="157"/>
      <c r="O46" s="157"/>
      <c r="P46" s="157"/>
      <c r="Q46" s="157"/>
      <c r="R46" s="157"/>
      <c r="S46" s="157"/>
      <c r="T46" s="157"/>
      <c r="U46" s="157"/>
      <c r="V46" s="157"/>
      <c r="W46" s="157"/>
      <c r="X46" s="6" t="s">
        <v>924</v>
      </c>
      <c r="Y46" s="6" t="s">
        <v>575</v>
      </c>
      <c r="Z46" s="6" t="s">
        <v>925</v>
      </c>
      <c r="AA46" s="6" t="s">
        <v>926</v>
      </c>
      <c r="AB46" s="6" t="s">
        <v>927</v>
      </c>
      <c r="AC46" s="6" t="s">
        <v>924</v>
      </c>
      <c r="AD46" s="6" t="s">
        <v>575</v>
      </c>
      <c r="AE46" s="6" t="s">
        <v>925</v>
      </c>
      <c r="AF46" s="6" t="s">
        <v>926</v>
      </c>
      <c r="AG46" s="6" t="s">
        <v>927</v>
      </c>
      <c r="AH46" s="6" t="s">
        <v>924</v>
      </c>
      <c r="AI46" s="6" t="s">
        <v>575</v>
      </c>
      <c r="AJ46" s="6" t="s">
        <v>925</v>
      </c>
      <c r="AK46" s="6" t="s">
        <v>926</v>
      </c>
      <c r="AL46" s="6" t="s">
        <v>927</v>
      </c>
      <c r="AM46" s="6" t="s">
        <v>434</v>
      </c>
      <c r="AN46" s="6" t="s">
        <v>839</v>
      </c>
      <c r="AO46" s="6" t="s">
        <v>945</v>
      </c>
      <c r="AP46" s="6" t="s">
        <v>924</v>
      </c>
      <c r="AQ46" s="6" t="s">
        <v>575</v>
      </c>
      <c r="AR46" s="6" t="s">
        <v>925</v>
      </c>
      <c r="AS46" s="6" t="s">
        <v>926</v>
      </c>
      <c r="AT46" s="6" t="s">
        <v>927</v>
      </c>
      <c r="AU46" s="6" t="s">
        <v>434</v>
      </c>
      <c r="AV46" s="6" t="s">
        <v>839</v>
      </c>
      <c r="AW46" s="6" t="s">
        <v>945</v>
      </c>
      <c r="AX46" s="6" t="s">
        <v>924</v>
      </c>
      <c r="AY46" s="6" t="s">
        <v>575</v>
      </c>
      <c r="AZ46" s="6" t="s">
        <v>925</v>
      </c>
      <c r="BA46" s="6" t="s">
        <v>926</v>
      </c>
      <c r="BB46" s="6" t="s">
        <v>927</v>
      </c>
      <c r="BC46" s="175" t="s">
        <v>434</v>
      </c>
      <c r="BD46" s="175" t="s">
        <v>839</v>
      </c>
      <c r="BE46" s="175" t="s">
        <v>945</v>
      </c>
      <c r="BF46" s="6" t="s">
        <v>924</v>
      </c>
      <c r="BG46" s="6" t="s">
        <v>575</v>
      </c>
      <c r="BH46" s="6" t="s">
        <v>925</v>
      </c>
      <c r="BI46" s="6" t="s">
        <v>926</v>
      </c>
      <c r="BJ46" s="6" t="s">
        <v>927</v>
      </c>
      <c r="BK46" s="175" t="s">
        <v>434</v>
      </c>
      <c r="BL46" s="175" t="s">
        <v>839</v>
      </c>
      <c r="BM46" s="175" t="s">
        <v>945</v>
      </c>
      <c r="BN46" s="175" t="s">
        <v>966</v>
      </c>
      <c r="BO46" s="175" t="s">
        <v>967</v>
      </c>
      <c r="BP46" s="175" t="s">
        <v>924</v>
      </c>
      <c r="BQ46" s="175" t="s">
        <v>575</v>
      </c>
      <c r="BR46" s="6" t="s">
        <v>925</v>
      </c>
      <c r="BS46" s="6" t="s">
        <v>926</v>
      </c>
      <c r="BT46" s="6" t="s">
        <v>927</v>
      </c>
      <c r="BU46" s="175" t="s">
        <v>434</v>
      </c>
      <c r="BV46" s="175"/>
      <c r="BW46" s="6" t="s">
        <v>142</v>
      </c>
      <c r="BX46" s="6" t="s">
        <v>142</v>
      </c>
      <c r="BY46" s="6" t="s">
        <v>142</v>
      </c>
      <c r="BZ46" s="23"/>
      <c r="CA46" s="6" t="s">
        <v>746</v>
      </c>
      <c r="CB46" s="6" t="s">
        <v>747</v>
      </c>
      <c r="CC46" s="6" t="s">
        <v>748</v>
      </c>
      <c r="CE46" s="49"/>
    </row>
    <row r="47" spans="2:99" ht="19.5" thickBot="1">
      <c r="B47" s="22"/>
      <c r="C47" s="11" t="s">
        <v>312</v>
      </c>
      <c r="D47" s="159" t="s">
        <v>142</v>
      </c>
      <c r="E47" s="159"/>
      <c r="F47" s="159"/>
      <c r="G47" s="159"/>
      <c r="H47" s="159"/>
      <c r="I47" s="159"/>
      <c r="J47" s="159"/>
      <c r="K47" s="159"/>
      <c r="L47" s="159"/>
      <c r="M47" s="159"/>
      <c r="N47" s="159"/>
      <c r="O47" s="159"/>
      <c r="P47" s="159"/>
      <c r="Q47" s="159"/>
      <c r="R47" s="159"/>
      <c r="S47" s="159"/>
      <c r="T47" s="159"/>
      <c r="U47" s="159"/>
      <c r="V47" s="159"/>
      <c r="W47" s="159"/>
      <c r="X47" s="11" t="s">
        <v>331</v>
      </c>
      <c r="Y47" s="11" t="s">
        <v>331</v>
      </c>
      <c r="Z47" s="11" t="s">
        <v>331</v>
      </c>
      <c r="AA47" s="11" t="s">
        <v>331</v>
      </c>
      <c r="AB47" s="11" t="s">
        <v>331</v>
      </c>
      <c r="AC47" s="11" t="s">
        <v>917</v>
      </c>
      <c r="AD47" s="11" t="s">
        <v>917</v>
      </c>
      <c r="AE47" s="11" t="s">
        <v>917</v>
      </c>
      <c r="AF47" s="11" t="s">
        <v>917</v>
      </c>
      <c r="AG47" s="11" t="s">
        <v>917</v>
      </c>
      <c r="AH47" s="190" t="s">
        <v>320</v>
      </c>
      <c r="AI47" s="190" t="s">
        <v>320</v>
      </c>
      <c r="AJ47" s="190" t="s">
        <v>320</v>
      </c>
      <c r="AK47" s="11" t="s">
        <v>320</v>
      </c>
      <c r="AL47" s="11" t="s">
        <v>320</v>
      </c>
      <c r="AM47" s="11" t="s">
        <v>320</v>
      </c>
      <c r="AN47" s="11" t="s">
        <v>320</v>
      </c>
      <c r="AO47" s="11" t="s">
        <v>320</v>
      </c>
      <c r="AP47" s="190" t="s">
        <v>320</v>
      </c>
      <c r="AQ47" s="190" t="s">
        <v>320</v>
      </c>
      <c r="AR47" s="190" t="s">
        <v>320</v>
      </c>
      <c r="AS47" s="11" t="s">
        <v>320</v>
      </c>
      <c r="AT47" s="11" t="s">
        <v>320</v>
      </c>
      <c r="AU47" s="11" t="s">
        <v>320</v>
      </c>
      <c r="AV47" s="11" t="s">
        <v>320</v>
      </c>
      <c r="AW47" s="11" t="s">
        <v>320</v>
      </c>
      <c r="AX47" s="190" t="s">
        <v>320</v>
      </c>
      <c r="AY47" s="190" t="s">
        <v>320</v>
      </c>
      <c r="AZ47" s="190" t="s">
        <v>320</v>
      </c>
      <c r="BA47" s="11" t="s">
        <v>320</v>
      </c>
      <c r="BB47" s="11" t="s">
        <v>320</v>
      </c>
      <c r="BC47" s="191" t="s">
        <v>320</v>
      </c>
      <c r="BD47" s="191" t="s">
        <v>320</v>
      </c>
      <c r="BE47" s="191" t="s">
        <v>320</v>
      </c>
      <c r="BF47" s="190" t="s">
        <v>320</v>
      </c>
      <c r="BG47" s="190" t="s">
        <v>320</v>
      </c>
      <c r="BH47" s="190" t="s">
        <v>320</v>
      </c>
      <c r="BI47" s="11" t="s">
        <v>320</v>
      </c>
      <c r="BJ47" s="11" t="s">
        <v>320</v>
      </c>
      <c r="BK47" s="191" t="s">
        <v>320</v>
      </c>
      <c r="BL47" s="191" t="s">
        <v>320</v>
      </c>
      <c r="BM47" s="191" t="s">
        <v>320</v>
      </c>
      <c r="BN47" s="191"/>
      <c r="BO47" s="191"/>
      <c r="BP47" s="191"/>
      <c r="BQ47" s="191"/>
      <c r="BR47" s="191"/>
      <c r="BS47" s="191"/>
      <c r="BT47" s="191"/>
      <c r="BU47" s="191"/>
      <c r="BV47" s="191" t="s">
        <v>320</v>
      </c>
      <c r="BW47" s="11" t="s">
        <v>320</v>
      </c>
      <c r="BX47" s="11" t="s">
        <v>320</v>
      </c>
      <c r="BY47" s="11" t="s">
        <v>320</v>
      </c>
      <c r="BZ47" s="23"/>
      <c r="CA47" s="11" t="s">
        <v>331</v>
      </c>
      <c r="CB47" s="11" t="s">
        <v>331</v>
      </c>
      <c r="CC47" s="11" t="s">
        <v>331</v>
      </c>
      <c r="CE47" s="6" t="s">
        <v>833</v>
      </c>
    </row>
    <row r="48" spans="2:99" ht="19.5" thickTop="1">
      <c r="D48">
        <f>'主翼(型紙出力)'!B51</f>
        <v>0</v>
      </c>
      <c r="E48">
        <f>'主翼(型紙出力)'!AP51</f>
        <v>0</v>
      </c>
      <c r="F48">
        <f>'主翼(型紙出力)'!AQ51</f>
        <v>0</v>
      </c>
      <c r="G48">
        <f>'主翼(型紙出力)'!E51</f>
        <v>0.15</v>
      </c>
      <c r="H48">
        <f>'主翼(型紙出力)'!D51/1000</f>
        <v>1.1000000000000001</v>
      </c>
      <c r="I48" t="str">
        <f>'主翼(型紙出力)'!H51</f>
        <v>full</v>
      </c>
      <c r="J48" t="str">
        <f>'主翼(型紙出力)'!G51</f>
        <v>0番</v>
      </c>
      <c r="K48">
        <f>'主翼(型紙出力)'!L51</f>
        <v>160.52660379928719</v>
      </c>
      <c r="L48">
        <f>'主翼(型紙出力)'!I51</f>
        <v>121.108</v>
      </c>
      <c r="M48">
        <f>'主翼(型紙出力)'!M51</f>
        <v>39.418603799287183</v>
      </c>
      <c r="N48" t="str">
        <f>主翼翼型1!$C$3</f>
        <v>QX0026 root.dat</v>
      </c>
      <c r="O48" cm="1">
        <f t="array" ref="O48">_xlfn.LET(
  _xlpm.y,$E48,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48" t="str">
        <f>主翼翼型2!$C$3</f>
        <v>QX0226.dat</v>
      </c>
      <c r="Q48" cm="1">
        <f t="array" ref="Q48">_xlfn.LET(
  _xlpm.y,$E48,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48" t="str">
        <f>主翼翼型3!$C$3</f>
        <v>QX0126.dat</v>
      </c>
      <c r="S48" cm="1">
        <f t="array" ref="S48">_xlfn.LET(
  _xlpm.y,$E48,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48" t="str">
        <f>主翼翼型4!$C$3</f>
        <v>QX0026 v32.dat</v>
      </c>
      <c r="U48" cm="1">
        <f t="array" ref="U48">_xlfn.LET(
  _xlpm.y,$E48,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48" t="str">
        <f>主翼翼型5!$C$3</f>
        <v>QX0026 v32.dat</v>
      </c>
      <c r="W48" cm="1">
        <f t="array" ref="W48">_xlfn.LET(
  _xlpm.y,$E48,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48" s="233">
        <f>IF(I48="full",(O48*$D$8+Q48*$D$12+S48*$D$16+U48*$D$20+W48*$D$24)*H48*H48,(O48*$D$8+Q48*$D$12+S48*$D$16+U48*$D$20+W48*$D$24)*H48*H48*$D$37)</f>
        <v>0.11932067128834498</v>
      </c>
      <c r="Y48" s="233">
        <f t="shared" ref="Y48:Y79" si="0">($O48*$D$6+Q48*$D$10+S48*$D$14+U48*$D$18+W48*$D$22)*H48*D$27</f>
        <v>1.664203601820988E-3</v>
      </c>
      <c r="Z48" s="233">
        <f>$D$29</f>
        <v>8.3999999999999995E-5</v>
      </c>
      <c r="AA48" s="238">
        <f t="shared" ref="AA48:AA79" si="1">(O48*$D$7+Q48*$D$11+S48*$D$15+U48*$D$19+W48*$D$23)*H48*$D$30</f>
        <v>5.2147954802208533E-4</v>
      </c>
      <c r="AB48" s="233">
        <f>$D$31*$D$32*2</f>
        <v>2.0000000000000002E-5</v>
      </c>
      <c r="AC48" s="233">
        <f>X48*$D$25</f>
        <v>8.3524469901841483E-4</v>
      </c>
      <c r="AD48">
        <f t="shared" ref="AD48:AD79" si="2">Y48*G48</f>
        <v>2.4963054027314819E-4</v>
      </c>
      <c r="AE48">
        <f t="shared" ref="AE48:AE79" si="3">Z48*G48</f>
        <v>1.26E-5</v>
      </c>
      <c r="AF48" s="237">
        <f>AA48*$D$25</f>
        <v>3.6503568361545974E-6</v>
      </c>
      <c r="AG48">
        <f>AB48*G48</f>
        <v>3.0000000000000001E-6</v>
      </c>
      <c r="AH48">
        <v>0</v>
      </c>
      <c r="AI48">
        <f t="shared" ref="AI48:AI79" si="4">IF(J48="0番",AD48*$S$6,"")</f>
        <v>2.1218595923217596E-2</v>
      </c>
      <c r="AJ48">
        <v>0</v>
      </c>
      <c r="AK48">
        <v>0</v>
      </c>
      <c r="AL48">
        <f t="shared" ref="AL48:AL79" si="5">IF(J48="0番",AG48*$S$5,"")</f>
        <v>4.5000000000000005E-3</v>
      </c>
      <c r="AM48">
        <v>0</v>
      </c>
      <c r="AN48">
        <f t="shared" ref="AN48:AN79" si="6">IF(J48="0番",$Y$6/($R$17*2),"")</f>
        <v>0.28895777621323671</v>
      </c>
      <c r="AO48" s="146"/>
      <c r="AP48" t="str">
        <f t="shared" ref="AP48:AP79" si="7">IF(J48="1番",$AC48*$S$4,"")</f>
        <v/>
      </c>
      <c r="AQ48" t="str">
        <f t="shared" ref="AQ48:AQ79" si="8">IF(J48="1番",AD48*$S$6,"")</f>
        <v/>
      </c>
      <c r="AR48" t="str">
        <f t="shared" ref="AR48:AR79" si="9">IF(J48="1番",AF48*$S$7,"")</f>
        <v/>
      </c>
      <c r="AS48" t="str">
        <f t="shared" ref="AS48:AS79" si="10">IF(J48="1番",AF48*$S$5,"")</f>
        <v/>
      </c>
      <c r="AT48" t="str">
        <f t="shared" ref="AT48:AT79" si="11">IF(J48="1番",AG48*$S$5,"")</f>
        <v/>
      </c>
      <c r="AU48" t="str">
        <f t="shared" ref="AU48:AU79" si="12">IF(J48="1番",$D$33*H48*H48+$D$34*H48+$D$35*G48,"")</f>
        <v/>
      </c>
      <c r="AV48" t="str">
        <f>IF(J48="1番",$Y$10/($R$18),"")</f>
        <v/>
      </c>
      <c r="AW48" s="146"/>
      <c r="AX48" t="str">
        <f t="shared" ref="AX48:AX79" si="13">IF(J48="2番",$AC48*$S$4,"")</f>
        <v/>
      </c>
      <c r="AY48" t="str">
        <f t="shared" ref="AY48:AY79" si="14">IF(J48="2番",AD48*$S$6,"")</f>
        <v/>
      </c>
      <c r="AZ48" t="str">
        <f t="shared" ref="AZ48:AZ79" si="15">IF(J48="2番",AF48*$S$7,"")</f>
        <v/>
      </c>
      <c r="BA48" t="str">
        <f t="shared" ref="BA48:BA79" si="16">IF(J48="2番",AF48*$S$5,"")</f>
        <v/>
      </c>
      <c r="BB48" t="str">
        <f t="shared" ref="BB48:BB79" si="17">IF(J48="2番",AG48*$S$5,"")</f>
        <v/>
      </c>
      <c r="BC48" t="str">
        <f t="shared" ref="BC48:BC79" si="18">IF(J48="2番",$D$33*H48*H48+$D$34*H48+$D$35*G48,"")</f>
        <v/>
      </c>
      <c r="BD48" t="str">
        <f>IF(J48="2番",$Y$14/($R$19),"")</f>
        <v/>
      </c>
      <c r="BE48" s="146"/>
      <c r="BF48" t="str">
        <f t="shared" ref="BF48:BF79" si="19">IF(J48="3番",$AC48*$S$4,"")</f>
        <v/>
      </c>
      <c r="BG48" t="str">
        <f t="shared" ref="BG48:BG79" si="20">IF(J48="3番",AD48*$S$6,"")</f>
        <v/>
      </c>
      <c r="BH48" t="str">
        <f t="shared" ref="BH48:BH79" si="21">IF(J48="3番",AF48*$S$7,"")</f>
        <v/>
      </c>
      <c r="BI48" t="str">
        <f t="shared" ref="BI48:BI79" si="22">IF(J48="3番",AF48*$S$5,"")</f>
        <v/>
      </c>
      <c r="BJ48" t="str">
        <f t="shared" ref="BJ48:BJ79" si="23">IF(J48="3番",AG48*$S$5,"")</f>
        <v/>
      </c>
      <c r="BK48" t="str">
        <f t="shared" ref="BK48:BK79" si="24">IF(J48="3番",$D$33*H48*H48+$D$34*H48+$D$35*G48,"")</f>
        <v/>
      </c>
      <c r="BL48" t="str">
        <f>IF(J48="3番",$Y$18/($R$20),"")</f>
        <v/>
      </c>
      <c r="BM48" s="146"/>
      <c r="BN48" t="str">
        <f>IF(J49="端リブ",IF(J50="ウィングレット","",$D$38),"")</f>
        <v/>
      </c>
      <c r="BO48" t="str">
        <f>IF(J48="端リブ",IF(J49="ウィングレット","",$D$38),"")</f>
        <v/>
      </c>
      <c r="BP48" t="str">
        <f t="shared" ref="BP48:BP79" si="25">IF(J48="端リブ",IF(J49="ウィングレット",X48*$D$26*2*$S$4,X48*$D$26*2*$S$4+(X48*$I$19)*$D$30*4*$S$5),"")</f>
        <v/>
      </c>
      <c r="BQ48" t="str">
        <f t="shared" ref="BQ48:BQ79" si="26">IF(J48="端リブ",AD48*$S$6,"")</f>
        <v/>
      </c>
      <c r="BR48" t="str">
        <f t="shared" ref="BR48:BR79" si="27">IF(J48="端リブ",AF48*$S$7,"")</f>
        <v/>
      </c>
      <c r="BS48" t="str">
        <f t="shared" ref="BS48:BS79" si="28">IF(J48="端リブ",AF48*$S$5,"")</f>
        <v/>
      </c>
      <c r="BT48" t="str">
        <f t="shared" ref="BT48:BT79" si="29">IF(J48="端リブ",AG48*$S$5,"")</f>
        <v/>
      </c>
      <c r="BU48" t="str">
        <f>IF(J48="端リブ",$D$33*H48*H48+$D$34*H48+$D$35*G48,"")</f>
        <v/>
      </c>
      <c r="BV48" t="str">
        <f>IF(J48="ウィングレット",($Y$19+$Y$22)/$R$21,"")</f>
        <v/>
      </c>
      <c r="BW48">
        <f>'主翼(桁)'!BG45</f>
        <v>0.10085762484380829</v>
      </c>
      <c r="BX48">
        <f>SUM(AH48:BV48)</f>
        <v>0.31467637213645427</v>
      </c>
      <c r="BY48">
        <f>BW48+BX48</f>
        <v>0.41553399698026255</v>
      </c>
      <c r="CA48">
        <f>(E48-$I$29)*(E48-$I$29)+(F48-$I$30)*(F48-$I$30)</f>
        <v>4.8809049096307795E-2</v>
      </c>
      <c r="CB48">
        <f>(F48-$I$30)*(F48-$I$30)</f>
        <v>4.8809049096307795E-2</v>
      </c>
      <c r="CC48">
        <f>(E48-$I$29)*(E48-$I$29)</f>
        <v>0</v>
      </c>
      <c r="CE48" s="49">
        <f>BY48*パラメーター!$D$5</f>
        <v>4.0709865684156323</v>
      </c>
    </row>
    <row r="49" spans="4:83">
      <c r="D49">
        <f>'主翼(型紙出力)'!B52</f>
        <v>1</v>
      </c>
      <c r="E49">
        <f>'主翼(型紙出力)'!AP52</f>
        <v>0.14999987910230048</v>
      </c>
      <c r="F49">
        <f>'主翼(型紙出力)'!AQ52</f>
        <v>1.9044499269218012E-4</v>
      </c>
      <c r="G49">
        <f>'主翼(型紙出力)'!E52</f>
        <v>0.15</v>
      </c>
      <c r="H49">
        <f>'主翼(型紙出力)'!D52/1000</f>
        <v>1.1000000000000001</v>
      </c>
      <c r="I49" t="str">
        <f>'主翼(型紙出力)'!H52</f>
        <v>full</v>
      </c>
      <c r="J49" t="str">
        <f>'主翼(型紙出力)'!G52</f>
        <v>0番</v>
      </c>
      <c r="K49">
        <f>'主翼(型紙出力)'!L52</f>
        <v>160.52660379928719</v>
      </c>
      <c r="L49">
        <f>'主翼(型紙出力)'!I52</f>
        <v>121.108</v>
      </c>
      <c r="M49">
        <f>'主翼(型紙出力)'!M52</f>
        <v>39.418603799287183</v>
      </c>
      <c r="N49" t="str">
        <f>主翼翼型1!$C$3</f>
        <v>QX0026 root.dat</v>
      </c>
      <c r="O49" cm="1">
        <f t="array" ref="O49">_xlfn.LET(
  _xlpm.y,$E49,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49" t="str">
        <f>主翼翼型2!$C$3</f>
        <v>QX0226.dat</v>
      </c>
      <c r="Q49" cm="1">
        <f t="array" ref="Q49">_xlfn.LET(
  _xlpm.y,$E49,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49" t="str">
        <f>主翼翼型3!$C$3</f>
        <v>QX0126.dat</v>
      </c>
      <c r="S49" cm="1">
        <f t="array" ref="S49">_xlfn.LET(
  _xlpm.y,$E49,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49" t="str">
        <f>主翼翼型4!$C$3</f>
        <v>QX0026 v32.dat</v>
      </c>
      <c r="U49" cm="1">
        <f t="array" ref="U49">_xlfn.LET(
  _xlpm.y,$E49,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49" t="str">
        <f>主翼翼型5!$C$3</f>
        <v>QX0026 v32.dat</v>
      </c>
      <c r="W49" cm="1">
        <f t="array" ref="W49">_xlfn.LET(
  _xlpm.y,$E49,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49" s="233">
        <f t="shared" ref="X49:X112" si="30">IF(I49="full",(O49*$D$8+Q49*$D$12+S49*$D$16+U49*$D$20+W49*$D$24)*H49*H49,(O49*$D$8+Q49*$D$12+S49*$D$16+U49*$D$20+W49*$D$24)*H49*H49*$D$37)</f>
        <v>0.11932067128834498</v>
      </c>
      <c r="Y49" s="233">
        <f t="shared" si="0"/>
        <v>1.664203601820988E-3</v>
      </c>
      <c r="Z49" s="233">
        <f t="shared" ref="Z49:Z112" si="31">$D$29</f>
        <v>8.3999999999999995E-5</v>
      </c>
      <c r="AA49" s="233">
        <f t="shared" si="1"/>
        <v>5.2147954802208533E-4</v>
      </c>
      <c r="AB49" s="233">
        <f t="shared" ref="AB49:AB112" si="32">$D$31*$D$32*2</f>
        <v>2.0000000000000002E-5</v>
      </c>
      <c r="AC49" s="233">
        <f t="shared" ref="AC49:AC112" si="33">X49*$D$25</f>
        <v>8.3524469901841483E-4</v>
      </c>
      <c r="AD49">
        <f t="shared" si="2"/>
        <v>2.4963054027314819E-4</v>
      </c>
      <c r="AE49">
        <f t="shared" si="3"/>
        <v>1.26E-5</v>
      </c>
      <c r="AF49">
        <f t="shared" ref="AF49:AF112" si="34">AA49*$D$25</f>
        <v>3.6503568361545974E-6</v>
      </c>
      <c r="AG49">
        <f t="shared" ref="AG49:AG112" si="35">AB49*G49</f>
        <v>3.0000000000000001E-6</v>
      </c>
      <c r="AH49">
        <f t="shared" ref="AH49:AH80" si="36">IF(J49="0番",$AC49*$S$4,"")</f>
        <v>2.25516068734972E-2</v>
      </c>
      <c r="AI49">
        <f t="shared" si="4"/>
        <v>2.1218595923217596E-2</v>
      </c>
      <c r="AJ49">
        <f t="shared" ref="AJ49:AJ80" si="37">IF(J49="0番",AF49*$S$7,"")</f>
        <v>1.8616819864388447E-3</v>
      </c>
      <c r="AK49">
        <f t="shared" ref="AK49:AK80" si="38">IF(J49="0番",AF49*$S$5,"")</f>
        <v>5.4755352542318961E-3</v>
      </c>
      <c r="AL49">
        <f t="shared" si="5"/>
        <v>4.5000000000000005E-3</v>
      </c>
      <c r="AM49">
        <f t="shared" ref="AM49:AM80" si="39">IF(J49="0番",$D$33*H49*H49+$D$34*H49+$D$35*G49,"")</f>
        <v>2.1825000000000001E-2</v>
      </c>
      <c r="AN49">
        <f t="shared" si="6"/>
        <v>0.28895777621323671</v>
      </c>
      <c r="AO49" s="146"/>
      <c r="AP49" t="str">
        <f t="shared" si="7"/>
        <v/>
      </c>
      <c r="AQ49" t="str">
        <f t="shared" si="8"/>
        <v/>
      </c>
      <c r="AR49" t="str">
        <f t="shared" si="9"/>
        <v/>
      </c>
      <c r="AS49" t="str">
        <f t="shared" si="10"/>
        <v/>
      </c>
      <c r="AT49" t="str">
        <f t="shared" si="11"/>
        <v/>
      </c>
      <c r="AU49" t="str">
        <f t="shared" si="12"/>
        <v/>
      </c>
      <c r="AV49" t="str">
        <f t="shared" ref="AV49:AV112" si="40">IF(J49="1番",$Y$10/($R$18),"")</f>
        <v/>
      </c>
      <c r="AW49" s="146"/>
      <c r="AX49" t="str">
        <f t="shared" si="13"/>
        <v/>
      </c>
      <c r="AY49" t="str">
        <f t="shared" si="14"/>
        <v/>
      </c>
      <c r="AZ49" t="str">
        <f t="shared" si="15"/>
        <v/>
      </c>
      <c r="BA49" t="str">
        <f t="shared" si="16"/>
        <v/>
      </c>
      <c r="BB49" t="str">
        <f t="shared" si="17"/>
        <v/>
      </c>
      <c r="BC49" t="str">
        <f t="shared" si="18"/>
        <v/>
      </c>
      <c r="BD49" t="str">
        <f t="shared" ref="BD49:BD112" si="41">IF(J49="2番",$Y$14/($R$19),"")</f>
        <v/>
      </c>
      <c r="BE49" s="146"/>
      <c r="BF49" t="str">
        <f t="shared" si="19"/>
        <v/>
      </c>
      <c r="BG49" t="str">
        <f t="shared" si="20"/>
        <v/>
      </c>
      <c r="BH49" t="str">
        <f t="shared" si="21"/>
        <v/>
      </c>
      <c r="BI49" t="str">
        <f t="shared" si="22"/>
        <v/>
      </c>
      <c r="BJ49" t="str">
        <f t="shared" si="23"/>
        <v/>
      </c>
      <c r="BK49" t="str">
        <f t="shared" si="24"/>
        <v/>
      </c>
      <c r="BL49" t="str">
        <f t="shared" ref="BL49:BL112" si="42">IF(J49="3番",$Y$18/($R$20),"")</f>
        <v/>
      </c>
      <c r="BM49" s="146"/>
      <c r="BN49" t="str">
        <f t="shared" ref="BN49:BN112" si="43">IF(J50="端リブ",IF(J51="ウィングレット","",$D$38),"")</f>
        <v/>
      </c>
      <c r="BO49" t="str">
        <f t="shared" ref="BO49:BO112" si="44">IF(J49="端リブ",IF(J50="ウィングレット","",$D$38),"")</f>
        <v/>
      </c>
      <c r="BP49" t="str">
        <f t="shared" si="25"/>
        <v/>
      </c>
      <c r="BQ49" t="str">
        <f t="shared" si="26"/>
        <v/>
      </c>
      <c r="BR49" t="str">
        <f t="shared" si="27"/>
        <v/>
      </c>
      <c r="BS49" t="str">
        <f t="shared" si="28"/>
        <v/>
      </c>
      <c r="BT49" t="str">
        <f t="shared" si="29"/>
        <v/>
      </c>
      <c r="BU49" t="str">
        <f t="shared" ref="BU49:BU112" si="45">IF(J49="端リブ",$D$33*H49*H49+$D$34*H49+$D$35*G49,"")</f>
        <v/>
      </c>
      <c r="BV49" t="str">
        <f t="shared" ref="BV49:BV112" si="46">IF(J49="ウィングレット",($Y$19+$Y$22)/$R$21,"")</f>
        <v/>
      </c>
      <c r="BW49">
        <f>'主翼(桁)'!BG46</f>
        <v>0.10085762484380829</v>
      </c>
      <c r="BX49">
        <f t="shared" ref="BX49:BX112" si="47">SUM(AH49:BV49)</f>
        <v>0.36639019625062225</v>
      </c>
      <c r="BY49">
        <f t="shared" ref="BY49:BY112" si="48">BW49+BX49</f>
        <v>0.46724782109443053</v>
      </c>
      <c r="CA49">
        <f t="shared" ref="CA49:CA112" si="49">(E49-$I$29)*(E49-$I$29)+(F49-$I$30)*(F49-$I$30)</f>
        <v>7.1224899947479492E-2</v>
      </c>
      <c r="CB49">
        <f t="shared" ref="CB49:CB112" si="50">(F49-$I$30)*(F49-$I$30)</f>
        <v>4.8724936216774727E-2</v>
      </c>
      <c r="CC49">
        <f t="shared" ref="CC49:CC112" si="51">(E49-$I$29)*(E49-$I$29)</f>
        <v>2.2499963730704758E-2</v>
      </c>
      <c r="CE49" s="49">
        <f>BY49*パラメーター!$D$5</f>
        <v>4.5776269032621357</v>
      </c>
    </row>
    <row r="50" spans="4:83">
      <c r="D50">
        <f>'主翼(型紙出力)'!B53</f>
        <v>2</v>
      </c>
      <c r="E50">
        <f>'主翼(型紙出力)'!AP53</f>
        <v>0.29999881100330894</v>
      </c>
      <c r="F50">
        <f>'主翼(型紙出力)'!AQ53</f>
        <v>7.5650908502999329E-4</v>
      </c>
      <c r="G50">
        <f>'主翼(型紙出力)'!E53</f>
        <v>0.15</v>
      </c>
      <c r="H50">
        <f>'主翼(型紙出力)'!D53/1000</f>
        <v>1.1000000000000001</v>
      </c>
      <c r="I50" t="str">
        <f>'主翼(型紙出力)'!H53</f>
        <v>full</v>
      </c>
      <c r="J50" t="str">
        <f>'主翼(型紙出力)'!G53</f>
        <v>0番</v>
      </c>
      <c r="K50">
        <f>'主翼(型紙出力)'!L53</f>
        <v>160.52660379928719</v>
      </c>
      <c r="L50">
        <f>'主翼(型紙出力)'!I53</f>
        <v>121.108</v>
      </c>
      <c r="M50">
        <f>'主翼(型紙出力)'!M53</f>
        <v>39.418603799287183</v>
      </c>
      <c r="N50" t="str">
        <f>主翼翼型1!$C$3</f>
        <v>QX0026 root.dat</v>
      </c>
      <c r="O50" cm="1">
        <f t="array" ref="O50">_xlfn.LET(
  _xlpm.y,$E50,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0" t="str">
        <f>主翼翼型2!$C$3</f>
        <v>QX0226.dat</v>
      </c>
      <c r="Q50" cm="1">
        <f t="array" ref="Q50">_xlfn.LET(
  _xlpm.y,$E50,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0" t="str">
        <f>主翼翼型3!$C$3</f>
        <v>QX0126.dat</v>
      </c>
      <c r="S50" cm="1">
        <f t="array" ref="S50">_xlfn.LET(
  _xlpm.y,$E50,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0" t="str">
        <f>主翼翼型4!$C$3</f>
        <v>QX0026 v32.dat</v>
      </c>
      <c r="U50" cm="1">
        <f t="array" ref="U50">_xlfn.LET(
  _xlpm.y,$E50,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0" t="str">
        <f>主翼翼型5!$C$3</f>
        <v>QX0026 v32.dat</v>
      </c>
      <c r="W50" cm="1">
        <f t="array" ref="W50">_xlfn.LET(
  _xlpm.y,$E50,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0" s="233">
        <f t="shared" si="30"/>
        <v>0.11932067128834498</v>
      </c>
      <c r="Y50" s="233">
        <f t="shared" si="0"/>
        <v>1.664203601820988E-3</v>
      </c>
      <c r="Z50" s="233">
        <f t="shared" si="31"/>
        <v>8.3999999999999995E-5</v>
      </c>
      <c r="AA50" s="233">
        <f t="shared" si="1"/>
        <v>5.2147954802208533E-4</v>
      </c>
      <c r="AB50" s="233">
        <f t="shared" si="32"/>
        <v>2.0000000000000002E-5</v>
      </c>
      <c r="AC50" s="233">
        <f t="shared" si="33"/>
        <v>8.3524469901841483E-4</v>
      </c>
      <c r="AD50">
        <f t="shared" si="2"/>
        <v>2.4963054027314819E-4</v>
      </c>
      <c r="AE50">
        <f t="shared" si="3"/>
        <v>1.26E-5</v>
      </c>
      <c r="AF50">
        <f t="shared" si="34"/>
        <v>3.6503568361545974E-6</v>
      </c>
      <c r="AG50">
        <f t="shared" si="35"/>
        <v>3.0000000000000001E-6</v>
      </c>
      <c r="AH50">
        <f t="shared" si="36"/>
        <v>2.25516068734972E-2</v>
      </c>
      <c r="AI50">
        <f t="shared" si="4"/>
        <v>2.1218595923217596E-2</v>
      </c>
      <c r="AJ50">
        <f t="shared" si="37"/>
        <v>1.8616819864388447E-3</v>
      </c>
      <c r="AK50">
        <f t="shared" si="38"/>
        <v>5.4755352542318961E-3</v>
      </c>
      <c r="AL50">
        <f t="shared" si="5"/>
        <v>4.5000000000000005E-3</v>
      </c>
      <c r="AM50">
        <f t="shared" si="39"/>
        <v>2.1825000000000001E-2</v>
      </c>
      <c r="AN50">
        <f t="shared" si="6"/>
        <v>0.28895777621323671</v>
      </c>
      <c r="AO50" s="146"/>
      <c r="AP50" t="str">
        <f t="shared" si="7"/>
        <v/>
      </c>
      <c r="AQ50" t="str">
        <f t="shared" si="8"/>
        <v/>
      </c>
      <c r="AR50" t="str">
        <f t="shared" si="9"/>
        <v/>
      </c>
      <c r="AS50" t="str">
        <f t="shared" si="10"/>
        <v/>
      </c>
      <c r="AT50" t="str">
        <f t="shared" si="11"/>
        <v/>
      </c>
      <c r="AU50" t="str">
        <f t="shared" si="12"/>
        <v/>
      </c>
      <c r="AV50" t="str">
        <f t="shared" si="40"/>
        <v/>
      </c>
      <c r="AW50" s="146"/>
      <c r="AX50" t="str">
        <f t="shared" si="13"/>
        <v/>
      </c>
      <c r="AY50" t="str">
        <f t="shared" si="14"/>
        <v/>
      </c>
      <c r="AZ50" t="str">
        <f t="shared" si="15"/>
        <v/>
      </c>
      <c r="BA50" t="str">
        <f t="shared" si="16"/>
        <v/>
      </c>
      <c r="BB50" t="str">
        <f t="shared" si="17"/>
        <v/>
      </c>
      <c r="BC50" t="str">
        <f t="shared" si="18"/>
        <v/>
      </c>
      <c r="BD50" t="str">
        <f t="shared" si="41"/>
        <v/>
      </c>
      <c r="BE50" s="146"/>
      <c r="BF50" t="str">
        <f t="shared" si="19"/>
        <v/>
      </c>
      <c r="BG50" t="str">
        <f t="shared" si="20"/>
        <v/>
      </c>
      <c r="BH50" t="str">
        <f t="shared" si="21"/>
        <v/>
      </c>
      <c r="BI50" t="str">
        <f t="shared" si="22"/>
        <v/>
      </c>
      <c r="BJ50" t="str">
        <f t="shared" si="23"/>
        <v/>
      </c>
      <c r="BK50" t="str">
        <f t="shared" si="24"/>
        <v/>
      </c>
      <c r="BL50" t="str">
        <f t="shared" si="42"/>
        <v/>
      </c>
      <c r="BM50" s="146"/>
      <c r="BN50" t="str">
        <f t="shared" si="43"/>
        <v/>
      </c>
      <c r="BO50" t="str">
        <f t="shared" si="44"/>
        <v/>
      </c>
      <c r="BP50" t="str">
        <f t="shared" si="25"/>
        <v/>
      </c>
      <c r="BQ50" t="str">
        <f t="shared" si="26"/>
        <v/>
      </c>
      <c r="BR50" t="str">
        <f t="shared" si="27"/>
        <v/>
      </c>
      <c r="BS50" t="str">
        <f t="shared" si="28"/>
        <v/>
      </c>
      <c r="BT50" t="str">
        <f t="shared" si="29"/>
        <v/>
      </c>
      <c r="BU50" t="str">
        <f t="shared" si="45"/>
        <v/>
      </c>
      <c r="BV50" t="str">
        <f t="shared" si="46"/>
        <v/>
      </c>
      <c r="BW50">
        <f>'主翼(桁)'!BG47</f>
        <v>0.10085762484380827</v>
      </c>
      <c r="BX50">
        <f t="shared" si="47"/>
        <v>0.36639019625062225</v>
      </c>
      <c r="BY50">
        <f t="shared" si="48"/>
        <v>0.46724782109443053</v>
      </c>
      <c r="CA50">
        <f t="shared" si="49"/>
        <v>0.13847464037972701</v>
      </c>
      <c r="CB50">
        <f t="shared" si="50"/>
        <v>4.8475353776327938E-2</v>
      </c>
      <c r="CC50">
        <f t="shared" si="51"/>
        <v>8.9999286603399078E-2</v>
      </c>
      <c r="CE50" s="49">
        <f>BY50*パラメーター!$D$5</f>
        <v>4.5776269032621357</v>
      </c>
    </row>
    <row r="51" spans="4:83">
      <c r="D51">
        <f>'主翼(型紙出力)'!B54</f>
        <v>3</v>
      </c>
      <c r="E51">
        <f>'主翼(型紙出力)'!AP54</f>
        <v>0.44999592048967385</v>
      </c>
      <c r="F51">
        <f>'主翼(型紙出力)'!AQ54</f>
        <v>1.6877156869422693E-3</v>
      </c>
      <c r="G51">
        <f>'主翼(型紙出力)'!E54</f>
        <v>0.15</v>
      </c>
      <c r="H51">
        <f>'主翼(型紙出力)'!D54/1000</f>
        <v>1.1000000000000001</v>
      </c>
      <c r="I51" t="str">
        <f>'主翼(型紙出力)'!H54</f>
        <v>full</v>
      </c>
      <c r="J51" t="str">
        <f>'主翼(型紙出力)'!G54</f>
        <v>0番</v>
      </c>
      <c r="K51">
        <f>'主翼(型紙出力)'!L54</f>
        <v>160.52660379928719</v>
      </c>
      <c r="L51">
        <f>'主翼(型紙出力)'!I54</f>
        <v>121.108</v>
      </c>
      <c r="M51">
        <f>'主翼(型紙出力)'!M54</f>
        <v>39.418603799287183</v>
      </c>
      <c r="N51" t="str">
        <f>主翼翼型1!$C$3</f>
        <v>QX0026 root.dat</v>
      </c>
      <c r="O51" cm="1">
        <f t="array" ref="O51">_xlfn.LET(
  _xlpm.y,$E51,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1" t="str">
        <f>主翼翼型2!$C$3</f>
        <v>QX0226.dat</v>
      </c>
      <c r="Q51" cm="1">
        <f t="array" ref="Q51">_xlfn.LET(
  _xlpm.y,$E51,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1" t="str">
        <f>主翼翼型3!$C$3</f>
        <v>QX0126.dat</v>
      </c>
      <c r="S51" cm="1">
        <f t="array" ref="S51">_xlfn.LET(
  _xlpm.y,$E51,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1" t="str">
        <f>主翼翼型4!$C$3</f>
        <v>QX0026 v32.dat</v>
      </c>
      <c r="U51" cm="1">
        <f t="array" ref="U51">_xlfn.LET(
  _xlpm.y,$E51,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1" t="str">
        <f>主翼翼型5!$C$3</f>
        <v>QX0026 v32.dat</v>
      </c>
      <c r="W51" cm="1">
        <f t="array" ref="W51">_xlfn.LET(
  _xlpm.y,$E51,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1" s="233">
        <f t="shared" si="30"/>
        <v>0.11932067128834498</v>
      </c>
      <c r="Y51" s="233">
        <f t="shared" si="0"/>
        <v>1.664203601820988E-3</v>
      </c>
      <c r="Z51" s="233">
        <f t="shared" si="31"/>
        <v>8.3999999999999995E-5</v>
      </c>
      <c r="AA51" s="233">
        <f t="shared" si="1"/>
        <v>5.2147954802208533E-4</v>
      </c>
      <c r="AB51" s="233">
        <f t="shared" si="32"/>
        <v>2.0000000000000002E-5</v>
      </c>
      <c r="AC51" s="233">
        <f t="shared" si="33"/>
        <v>8.3524469901841483E-4</v>
      </c>
      <c r="AD51">
        <f t="shared" si="2"/>
        <v>2.4963054027314819E-4</v>
      </c>
      <c r="AE51">
        <f t="shared" si="3"/>
        <v>1.26E-5</v>
      </c>
      <c r="AF51">
        <f t="shared" si="34"/>
        <v>3.6503568361545974E-6</v>
      </c>
      <c r="AG51">
        <f t="shared" si="35"/>
        <v>3.0000000000000001E-6</v>
      </c>
      <c r="AH51">
        <f t="shared" si="36"/>
        <v>2.25516068734972E-2</v>
      </c>
      <c r="AI51">
        <f t="shared" si="4"/>
        <v>2.1218595923217596E-2</v>
      </c>
      <c r="AJ51">
        <f t="shared" si="37"/>
        <v>1.8616819864388447E-3</v>
      </c>
      <c r="AK51">
        <f t="shared" si="38"/>
        <v>5.4755352542318961E-3</v>
      </c>
      <c r="AL51">
        <f t="shared" si="5"/>
        <v>4.5000000000000005E-3</v>
      </c>
      <c r="AM51">
        <f t="shared" si="39"/>
        <v>2.1825000000000001E-2</v>
      </c>
      <c r="AN51">
        <f t="shared" si="6"/>
        <v>0.28895777621323671</v>
      </c>
      <c r="AO51" s="146"/>
      <c r="AP51" t="str">
        <f t="shared" si="7"/>
        <v/>
      </c>
      <c r="AQ51" t="str">
        <f t="shared" si="8"/>
        <v/>
      </c>
      <c r="AR51" t="str">
        <f t="shared" si="9"/>
        <v/>
      </c>
      <c r="AS51" t="str">
        <f t="shared" si="10"/>
        <v/>
      </c>
      <c r="AT51" t="str">
        <f t="shared" si="11"/>
        <v/>
      </c>
      <c r="AU51" t="str">
        <f t="shared" si="12"/>
        <v/>
      </c>
      <c r="AV51" t="str">
        <f t="shared" si="40"/>
        <v/>
      </c>
      <c r="AW51" s="146"/>
      <c r="AX51" t="str">
        <f t="shared" si="13"/>
        <v/>
      </c>
      <c r="AY51" t="str">
        <f t="shared" si="14"/>
        <v/>
      </c>
      <c r="AZ51" t="str">
        <f t="shared" si="15"/>
        <v/>
      </c>
      <c r="BA51" t="str">
        <f t="shared" si="16"/>
        <v/>
      </c>
      <c r="BB51" t="str">
        <f t="shared" si="17"/>
        <v/>
      </c>
      <c r="BC51" t="str">
        <f t="shared" si="18"/>
        <v/>
      </c>
      <c r="BD51" t="str">
        <f t="shared" si="41"/>
        <v/>
      </c>
      <c r="BE51" s="146"/>
      <c r="BF51" t="str">
        <f t="shared" si="19"/>
        <v/>
      </c>
      <c r="BG51" t="str">
        <f t="shared" si="20"/>
        <v/>
      </c>
      <c r="BH51" t="str">
        <f t="shared" si="21"/>
        <v/>
      </c>
      <c r="BI51" t="str">
        <f t="shared" si="22"/>
        <v/>
      </c>
      <c r="BJ51" t="str">
        <f t="shared" si="23"/>
        <v/>
      </c>
      <c r="BK51" t="str">
        <f t="shared" si="24"/>
        <v/>
      </c>
      <c r="BL51" t="str">
        <f t="shared" si="42"/>
        <v/>
      </c>
      <c r="BM51" s="146"/>
      <c r="BN51" t="str">
        <f t="shared" si="43"/>
        <v/>
      </c>
      <c r="BO51" t="str">
        <f t="shared" si="44"/>
        <v/>
      </c>
      <c r="BP51" t="str">
        <f t="shared" si="25"/>
        <v/>
      </c>
      <c r="BQ51" t="str">
        <f t="shared" si="26"/>
        <v/>
      </c>
      <c r="BR51" t="str">
        <f t="shared" si="27"/>
        <v/>
      </c>
      <c r="BS51" t="str">
        <f t="shared" si="28"/>
        <v/>
      </c>
      <c r="BT51" t="str">
        <f t="shared" si="29"/>
        <v/>
      </c>
      <c r="BU51" t="str">
        <f t="shared" si="45"/>
        <v/>
      </c>
      <c r="BV51" t="str">
        <f t="shared" si="46"/>
        <v/>
      </c>
      <c r="BW51">
        <f>'主翼(桁)'!BG48</f>
        <v>0.10085762484380834</v>
      </c>
      <c r="BX51">
        <f t="shared" si="47"/>
        <v>0.36639019625062225</v>
      </c>
      <c r="BY51">
        <f t="shared" si="48"/>
        <v>0.46724782109443058</v>
      </c>
      <c r="CA51">
        <f t="shared" si="49"/>
        <v>0.25056249964437355</v>
      </c>
      <c r="CB51">
        <f t="shared" si="50"/>
        <v>4.8066171187024671E-2</v>
      </c>
      <c r="CC51">
        <f t="shared" si="51"/>
        <v>0.20249632845734886</v>
      </c>
      <c r="CE51" s="49">
        <f>BY51*パラメーター!$D$5</f>
        <v>4.5776269032621366</v>
      </c>
    </row>
    <row r="52" spans="4:83">
      <c r="D52">
        <f>'主翼(型紙出力)'!B55</f>
        <v>4</v>
      </c>
      <c r="E52">
        <f>'主翼(型紙出力)'!AP55</f>
        <v>0.59999040770891821</v>
      </c>
      <c r="F52">
        <f>'主翼(型紙出力)'!AQ55</f>
        <v>2.9737187335678325E-3</v>
      </c>
      <c r="G52">
        <f>'主翼(型紙出力)'!E55</f>
        <v>0.15</v>
      </c>
      <c r="H52">
        <f>'主翼(型紙出力)'!D55/1000</f>
        <v>1.1000000000000001</v>
      </c>
      <c r="I52" t="str">
        <f>'主翼(型紙出力)'!H55</f>
        <v>full</v>
      </c>
      <c r="J52" t="str">
        <f>'主翼(型紙出力)'!G55</f>
        <v>0番</v>
      </c>
      <c r="K52">
        <f>'主翼(型紙出力)'!L55</f>
        <v>160.52660379928719</v>
      </c>
      <c r="L52">
        <f>'主翼(型紙出力)'!I55</f>
        <v>121.108</v>
      </c>
      <c r="M52">
        <f>'主翼(型紙出力)'!M55</f>
        <v>39.418603799287183</v>
      </c>
      <c r="N52" t="str">
        <f>主翼翼型1!$C$3</f>
        <v>QX0026 root.dat</v>
      </c>
      <c r="O52" cm="1">
        <f t="array" ref="O52">_xlfn.LET(
  _xlpm.y,$E52,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2" t="str">
        <f>主翼翼型2!$C$3</f>
        <v>QX0226.dat</v>
      </c>
      <c r="Q52" cm="1">
        <f t="array" ref="Q52">_xlfn.LET(
  _xlpm.y,$E52,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2" t="str">
        <f>主翼翼型3!$C$3</f>
        <v>QX0126.dat</v>
      </c>
      <c r="S52" cm="1">
        <f t="array" ref="S52">_xlfn.LET(
  _xlpm.y,$E52,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2" t="str">
        <f>主翼翼型4!$C$3</f>
        <v>QX0026 v32.dat</v>
      </c>
      <c r="U52" cm="1">
        <f t="array" ref="U52">_xlfn.LET(
  _xlpm.y,$E52,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2" t="str">
        <f>主翼翼型5!$C$3</f>
        <v>QX0026 v32.dat</v>
      </c>
      <c r="W52" cm="1">
        <f t="array" ref="W52">_xlfn.LET(
  _xlpm.y,$E52,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2" s="233">
        <f t="shared" si="30"/>
        <v>0.11932067128834498</v>
      </c>
      <c r="Y52" s="233">
        <f t="shared" si="0"/>
        <v>1.664203601820988E-3</v>
      </c>
      <c r="Z52" s="233">
        <f t="shared" si="31"/>
        <v>8.3999999999999995E-5</v>
      </c>
      <c r="AA52" s="233">
        <f t="shared" si="1"/>
        <v>5.2147954802208533E-4</v>
      </c>
      <c r="AB52" s="233">
        <f t="shared" si="32"/>
        <v>2.0000000000000002E-5</v>
      </c>
      <c r="AC52" s="233">
        <f t="shared" si="33"/>
        <v>8.3524469901841483E-4</v>
      </c>
      <c r="AD52">
        <f t="shared" si="2"/>
        <v>2.4963054027314819E-4</v>
      </c>
      <c r="AE52">
        <f t="shared" si="3"/>
        <v>1.26E-5</v>
      </c>
      <c r="AF52">
        <f t="shared" si="34"/>
        <v>3.6503568361545974E-6</v>
      </c>
      <c r="AG52">
        <f t="shared" si="35"/>
        <v>3.0000000000000001E-6</v>
      </c>
      <c r="AH52">
        <f t="shared" si="36"/>
        <v>2.25516068734972E-2</v>
      </c>
      <c r="AI52">
        <f t="shared" si="4"/>
        <v>2.1218595923217596E-2</v>
      </c>
      <c r="AJ52">
        <f t="shared" si="37"/>
        <v>1.8616819864388447E-3</v>
      </c>
      <c r="AK52">
        <f t="shared" si="38"/>
        <v>5.4755352542318961E-3</v>
      </c>
      <c r="AL52">
        <f t="shared" si="5"/>
        <v>4.5000000000000005E-3</v>
      </c>
      <c r="AM52">
        <f t="shared" si="39"/>
        <v>2.1825000000000001E-2</v>
      </c>
      <c r="AN52">
        <f t="shared" si="6"/>
        <v>0.28895777621323671</v>
      </c>
      <c r="AO52" s="146"/>
      <c r="AP52" t="str">
        <f t="shared" si="7"/>
        <v/>
      </c>
      <c r="AQ52" t="str">
        <f t="shared" si="8"/>
        <v/>
      </c>
      <c r="AR52" t="str">
        <f t="shared" si="9"/>
        <v/>
      </c>
      <c r="AS52" t="str">
        <f t="shared" si="10"/>
        <v/>
      </c>
      <c r="AT52" t="str">
        <f t="shared" si="11"/>
        <v/>
      </c>
      <c r="AU52" t="str">
        <f t="shared" si="12"/>
        <v/>
      </c>
      <c r="AV52" t="str">
        <f t="shared" si="40"/>
        <v/>
      </c>
      <c r="AW52" s="146"/>
      <c r="AX52" t="str">
        <f t="shared" si="13"/>
        <v/>
      </c>
      <c r="AY52" t="str">
        <f t="shared" si="14"/>
        <v/>
      </c>
      <c r="AZ52" t="str">
        <f t="shared" si="15"/>
        <v/>
      </c>
      <c r="BA52" t="str">
        <f t="shared" si="16"/>
        <v/>
      </c>
      <c r="BB52" t="str">
        <f t="shared" si="17"/>
        <v/>
      </c>
      <c r="BC52" t="str">
        <f t="shared" si="18"/>
        <v/>
      </c>
      <c r="BD52" t="str">
        <f t="shared" si="41"/>
        <v/>
      </c>
      <c r="BE52" s="146"/>
      <c r="BF52" t="str">
        <f t="shared" si="19"/>
        <v/>
      </c>
      <c r="BG52" t="str">
        <f t="shared" si="20"/>
        <v/>
      </c>
      <c r="BH52" t="str">
        <f t="shared" si="21"/>
        <v/>
      </c>
      <c r="BI52" t="str">
        <f t="shared" si="22"/>
        <v/>
      </c>
      <c r="BJ52" t="str">
        <f t="shared" si="23"/>
        <v/>
      </c>
      <c r="BK52" t="str">
        <f t="shared" si="24"/>
        <v/>
      </c>
      <c r="BL52" t="str">
        <f t="shared" si="42"/>
        <v/>
      </c>
      <c r="BM52" s="146"/>
      <c r="BN52" t="str">
        <f t="shared" si="43"/>
        <v/>
      </c>
      <c r="BO52" t="str">
        <f t="shared" si="44"/>
        <v/>
      </c>
      <c r="BP52" t="str">
        <f t="shared" si="25"/>
        <v/>
      </c>
      <c r="BQ52" t="str">
        <f t="shared" si="26"/>
        <v/>
      </c>
      <c r="BR52" t="str">
        <f t="shared" si="27"/>
        <v/>
      </c>
      <c r="BS52" t="str">
        <f t="shared" si="28"/>
        <v/>
      </c>
      <c r="BT52" t="str">
        <f t="shared" si="29"/>
        <v/>
      </c>
      <c r="BU52" t="str">
        <f t="shared" si="45"/>
        <v/>
      </c>
      <c r="BV52" t="str">
        <f t="shared" si="46"/>
        <v/>
      </c>
      <c r="BW52">
        <f>'主翼(桁)'!BG49</f>
        <v>0.10085762484380834</v>
      </c>
      <c r="BX52">
        <f t="shared" si="47"/>
        <v>0.36639019625062225</v>
      </c>
      <c r="BY52">
        <f t="shared" si="48"/>
        <v>0.46724782109443058</v>
      </c>
      <c r="CA52">
        <f t="shared" si="49"/>
        <v>0.40749242775530692</v>
      </c>
      <c r="CB52">
        <f t="shared" si="50"/>
        <v>4.7503938412593018E-2</v>
      </c>
      <c r="CC52">
        <f t="shared" si="51"/>
        <v>0.35998848934271388</v>
      </c>
      <c r="CE52" s="49">
        <f>BY52*パラメーター!$D$5</f>
        <v>4.5776269032621366</v>
      </c>
    </row>
    <row r="53" spans="4:83">
      <c r="D53">
        <f>'主翼(型紙出力)'!B56</f>
        <v>5</v>
      </c>
      <c r="E53">
        <f>'主翼(型紙出力)'!AP56</f>
        <v>0.74998154476310974</v>
      </c>
      <c r="F53">
        <f>'主翼(型紙出力)'!AQ56</f>
        <v>4.6043030431780129E-3</v>
      </c>
      <c r="G53">
        <f>'主翼(型紙出力)'!E56</f>
        <v>0.15</v>
      </c>
      <c r="H53">
        <f>'主翼(型紙出力)'!D56/1000</f>
        <v>1.1000000000000001</v>
      </c>
      <c r="I53" t="str">
        <f>'主翼(型紙出力)'!H56</f>
        <v>full</v>
      </c>
      <c r="J53" t="str">
        <f>'主翼(型紙出力)'!G56</f>
        <v>0番</v>
      </c>
      <c r="K53">
        <f>'主翼(型紙出力)'!L56</f>
        <v>160.52660379928719</v>
      </c>
      <c r="L53">
        <f>'主翼(型紙出力)'!I56</f>
        <v>121.108</v>
      </c>
      <c r="M53">
        <f>'主翼(型紙出力)'!M56</f>
        <v>39.418603799287183</v>
      </c>
      <c r="N53" t="str">
        <f>主翼翼型1!$C$3</f>
        <v>QX0026 root.dat</v>
      </c>
      <c r="O53" cm="1">
        <f t="array" ref="O53">_xlfn.LET(
  _xlpm.y,$E53,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3" t="str">
        <f>主翼翼型2!$C$3</f>
        <v>QX0226.dat</v>
      </c>
      <c r="Q53" cm="1">
        <f t="array" ref="Q53">_xlfn.LET(
  _xlpm.y,$E53,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3" t="str">
        <f>主翼翼型3!$C$3</f>
        <v>QX0126.dat</v>
      </c>
      <c r="S53" cm="1">
        <f t="array" ref="S53">_xlfn.LET(
  _xlpm.y,$E53,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3" t="str">
        <f>主翼翼型4!$C$3</f>
        <v>QX0026 v32.dat</v>
      </c>
      <c r="U53" cm="1">
        <f t="array" ref="U53">_xlfn.LET(
  _xlpm.y,$E53,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3" t="str">
        <f>主翼翼型5!$C$3</f>
        <v>QX0026 v32.dat</v>
      </c>
      <c r="W53" cm="1">
        <f t="array" ref="W53">_xlfn.LET(
  _xlpm.y,$E53,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3" s="233">
        <f t="shared" si="30"/>
        <v>0.11932067128834498</v>
      </c>
      <c r="Y53" s="233">
        <f t="shared" si="0"/>
        <v>1.664203601820988E-3</v>
      </c>
      <c r="Z53" s="233">
        <f t="shared" si="31"/>
        <v>8.3999999999999995E-5</v>
      </c>
      <c r="AA53" s="233">
        <f t="shared" si="1"/>
        <v>5.2147954802208533E-4</v>
      </c>
      <c r="AB53" s="233">
        <f t="shared" si="32"/>
        <v>2.0000000000000002E-5</v>
      </c>
      <c r="AC53" s="233">
        <f t="shared" si="33"/>
        <v>8.3524469901841483E-4</v>
      </c>
      <c r="AD53">
        <f t="shared" si="2"/>
        <v>2.4963054027314819E-4</v>
      </c>
      <c r="AE53">
        <f t="shared" si="3"/>
        <v>1.26E-5</v>
      </c>
      <c r="AF53">
        <f t="shared" si="34"/>
        <v>3.6503568361545974E-6</v>
      </c>
      <c r="AG53">
        <f t="shared" si="35"/>
        <v>3.0000000000000001E-6</v>
      </c>
      <c r="AH53">
        <f t="shared" si="36"/>
        <v>2.25516068734972E-2</v>
      </c>
      <c r="AI53">
        <f t="shared" si="4"/>
        <v>2.1218595923217596E-2</v>
      </c>
      <c r="AJ53">
        <f t="shared" si="37"/>
        <v>1.8616819864388447E-3</v>
      </c>
      <c r="AK53">
        <f t="shared" si="38"/>
        <v>5.4755352542318961E-3</v>
      </c>
      <c r="AL53">
        <f t="shared" si="5"/>
        <v>4.5000000000000005E-3</v>
      </c>
      <c r="AM53">
        <f t="shared" si="39"/>
        <v>2.1825000000000001E-2</v>
      </c>
      <c r="AN53">
        <f t="shared" si="6"/>
        <v>0.28895777621323671</v>
      </c>
      <c r="AO53" s="146"/>
      <c r="AP53" t="str">
        <f t="shared" si="7"/>
        <v/>
      </c>
      <c r="AQ53" t="str">
        <f t="shared" si="8"/>
        <v/>
      </c>
      <c r="AR53" t="str">
        <f t="shared" si="9"/>
        <v/>
      </c>
      <c r="AS53" t="str">
        <f t="shared" si="10"/>
        <v/>
      </c>
      <c r="AT53" t="str">
        <f t="shared" si="11"/>
        <v/>
      </c>
      <c r="AU53" t="str">
        <f t="shared" si="12"/>
        <v/>
      </c>
      <c r="AV53" t="str">
        <f t="shared" si="40"/>
        <v/>
      </c>
      <c r="AW53" s="146"/>
      <c r="AX53" t="str">
        <f t="shared" si="13"/>
        <v/>
      </c>
      <c r="AY53" t="str">
        <f t="shared" si="14"/>
        <v/>
      </c>
      <c r="AZ53" t="str">
        <f t="shared" si="15"/>
        <v/>
      </c>
      <c r="BA53" t="str">
        <f t="shared" si="16"/>
        <v/>
      </c>
      <c r="BB53" t="str">
        <f t="shared" si="17"/>
        <v/>
      </c>
      <c r="BC53" t="str">
        <f t="shared" si="18"/>
        <v/>
      </c>
      <c r="BD53" t="str">
        <f t="shared" si="41"/>
        <v/>
      </c>
      <c r="BE53" s="146"/>
      <c r="BF53" t="str">
        <f t="shared" si="19"/>
        <v/>
      </c>
      <c r="BG53" t="str">
        <f t="shared" si="20"/>
        <v/>
      </c>
      <c r="BH53" t="str">
        <f t="shared" si="21"/>
        <v/>
      </c>
      <c r="BI53" t="str">
        <f t="shared" si="22"/>
        <v/>
      </c>
      <c r="BJ53" t="str">
        <f t="shared" si="23"/>
        <v/>
      </c>
      <c r="BK53" t="str">
        <f t="shared" si="24"/>
        <v/>
      </c>
      <c r="BL53" t="str">
        <f t="shared" si="42"/>
        <v/>
      </c>
      <c r="BM53" s="146"/>
      <c r="BN53" t="str">
        <f t="shared" si="43"/>
        <v/>
      </c>
      <c r="BO53" t="str">
        <f t="shared" si="44"/>
        <v/>
      </c>
      <c r="BP53" t="str">
        <f t="shared" si="25"/>
        <v/>
      </c>
      <c r="BQ53" t="str">
        <f t="shared" si="26"/>
        <v/>
      </c>
      <c r="BR53" t="str">
        <f t="shared" si="27"/>
        <v/>
      </c>
      <c r="BS53" t="str">
        <f t="shared" si="28"/>
        <v/>
      </c>
      <c r="BT53" t="str">
        <f t="shared" si="29"/>
        <v/>
      </c>
      <c r="BU53" t="str">
        <f t="shared" si="45"/>
        <v/>
      </c>
      <c r="BV53" t="str">
        <f t="shared" si="46"/>
        <v/>
      </c>
      <c r="BW53">
        <f>'主翼(桁)'!BG50</f>
        <v>0.10085762484380834</v>
      </c>
      <c r="BX53">
        <f t="shared" si="47"/>
        <v>0.36639019625062225</v>
      </c>
      <c r="BY53">
        <f t="shared" si="48"/>
        <v>0.46724782109443058</v>
      </c>
      <c r="CA53">
        <f t="shared" si="49"/>
        <v>0.60926813001544222</v>
      </c>
      <c r="CB53">
        <f t="shared" si="50"/>
        <v>4.6795812530181884E-2</v>
      </c>
      <c r="CC53">
        <f t="shared" si="51"/>
        <v>0.56247231748526039</v>
      </c>
      <c r="CE53" s="49">
        <f>BY53*パラメーター!$D$5</f>
        <v>4.5776269032621366</v>
      </c>
    </row>
    <row r="54" spans="4:83">
      <c r="D54">
        <f>'主翼(型紙出力)'!B57</f>
        <v>6</v>
      </c>
      <c r="E54">
        <f>'主翼(型紙出力)'!AP57</f>
        <v>0.89996867239234846</v>
      </c>
      <c r="F54">
        <f>'主翼(型紙出力)'!AQ57</f>
        <v>6.5693846013982126E-3</v>
      </c>
      <c r="G54">
        <f>'主翼(型紙出力)'!E57</f>
        <v>0.15</v>
      </c>
      <c r="H54">
        <f>'主翼(型紙出力)'!D57/1000</f>
        <v>1.1000000000000001</v>
      </c>
      <c r="I54" t="str">
        <f>'主翼(型紙出力)'!H57</f>
        <v>full</v>
      </c>
      <c r="J54" t="str">
        <f>'主翼(型紙出力)'!G57</f>
        <v>0番</v>
      </c>
      <c r="K54">
        <f>'主翼(型紙出力)'!L57</f>
        <v>160.52660379928719</v>
      </c>
      <c r="L54">
        <f>'主翼(型紙出力)'!I57</f>
        <v>121.108</v>
      </c>
      <c r="M54">
        <f>'主翼(型紙出力)'!M57</f>
        <v>39.418603799287183</v>
      </c>
      <c r="N54" t="str">
        <f>主翼翼型1!$C$3</f>
        <v>QX0026 root.dat</v>
      </c>
      <c r="O54" cm="1">
        <f t="array" ref="O54">_xlfn.LET(
  _xlpm.y,$E54,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4" t="str">
        <f>主翼翼型2!$C$3</f>
        <v>QX0226.dat</v>
      </c>
      <c r="Q54" cm="1">
        <f t="array" ref="Q54">_xlfn.LET(
  _xlpm.y,$E54,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4" t="str">
        <f>主翼翼型3!$C$3</f>
        <v>QX0126.dat</v>
      </c>
      <c r="S54" cm="1">
        <f t="array" ref="S54">_xlfn.LET(
  _xlpm.y,$E54,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4" t="str">
        <f>主翼翼型4!$C$3</f>
        <v>QX0026 v32.dat</v>
      </c>
      <c r="U54" cm="1">
        <f t="array" ref="U54">_xlfn.LET(
  _xlpm.y,$E54,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4" t="str">
        <f>主翼翼型5!$C$3</f>
        <v>QX0026 v32.dat</v>
      </c>
      <c r="W54" cm="1">
        <f t="array" ref="W54">_xlfn.LET(
  _xlpm.y,$E54,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4" s="233">
        <f t="shared" si="30"/>
        <v>0.11932067128834498</v>
      </c>
      <c r="Y54" s="233">
        <f t="shared" si="0"/>
        <v>1.664203601820988E-3</v>
      </c>
      <c r="Z54" s="233">
        <f t="shared" si="31"/>
        <v>8.3999999999999995E-5</v>
      </c>
      <c r="AA54" s="233">
        <f t="shared" si="1"/>
        <v>5.2147954802208533E-4</v>
      </c>
      <c r="AB54" s="233">
        <f t="shared" si="32"/>
        <v>2.0000000000000002E-5</v>
      </c>
      <c r="AC54" s="233">
        <f t="shared" si="33"/>
        <v>8.3524469901841483E-4</v>
      </c>
      <c r="AD54">
        <f t="shared" si="2"/>
        <v>2.4963054027314819E-4</v>
      </c>
      <c r="AE54">
        <f t="shared" si="3"/>
        <v>1.26E-5</v>
      </c>
      <c r="AF54">
        <f t="shared" si="34"/>
        <v>3.6503568361545974E-6</v>
      </c>
      <c r="AG54">
        <f t="shared" si="35"/>
        <v>3.0000000000000001E-6</v>
      </c>
      <c r="AH54">
        <f t="shared" si="36"/>
        <v>2.25516068734972E-2</v>
      </c>
      <c r="AI54">
        <f t="shared" si="4"/>
        <v>2.1218595923217596E-2</v>
      </c>
      <c r="AJ54">
        <f t="shared" si="37"/>
        <v>1.8616819864388447E-3</v>
      </c>
      <c r="AK54">
        <f t="shared" si="38"/>
        <v>5.4755352542318961E-3</v>
      </c>
      <c r="AL54">
        <f t="shared" si="5"/>
        <v>4.5000000000000005E-3</v>
      </c>
      <c r="AM54">
        <f t="shared" si="39"/>
        <v>2.1825000000000001E-2</v>
      </c>
      <c r="AN54">
        <f t="shared" si="6"/>
        <v>0.28895777621323671</v>
      </c>
      <c r="AO54" s="146"/>
      <c r="AP54" t="str">
        <f t="shared" si="7"/>
        <v/>
      </c>
      <c r="AQ54" t="str">
        <f t="shared" si="8"/>
        <v/>
      </c>
      <c r="AR54" t="str">
        <f t="shared" si="9"/>
        <v/>
      </c>
      <c r="AS54" t="str">
        <f t="shared" si="10"/>
        <v/>
      </c>
      <c r="AT54" t="str">
        <f t="shared" si="11"/>
        <v/>
      </c>
      <c r="AU54" t="str">
        <f t="shared" si="12"/>
        <v/>
      </c>
      <c r="AV54" t="str">
        <f t="shared" si="40"/>
        <v/>
      </c>
      <c r="AW54" s="146"/>
      <c r="AX54" t="str">
        <f t="shared" si="13"/>
        <v/>
      </c>
      <c r="AY54" t="str">
        <f t="shared" si="14"/>
        <v/>
      </c>
      <c r="AZ54" t="str">
        <f t="shared" si="15"/>
        <v/>
      </c>
      <c r="BA54" t="str">
        <f t="shared" si="16"/>
        <v/>
      </c>
      <c r="BB54" t="str">
        <f t="shared" si="17"/>
        <v/>
      </c>
      <c r="BC54" t="str">
        <f t="shared" si="18"/>
        <v/>
      </c>
      <c r="BD54" t="str">
        <f t="shared" si="41"/>
        <v/>
      </c>
      <c r="BE54" s="146"/>
      <c r="BF54" t="str">
        <f t="shared" si="19"/>
        <v/>
      </c>
      <c r="BG54" t="str">
        <f t="shared" si="20"/>
        <v/>
      </c>
      <c r="BH54" t="str">
        <f t="shared" si="21"/>
        <v/>
      </c>
      <c r="BI54" t="str">
        <f t="shared" si="22"/>
        <v/>
      </c>
      <c r="BJ54" t="str">
        <f t="shared" si="23"/>
        <v/>
      </c>
      <c r="BK54" t="str">
        <f t="shared" si="24"/>
        <v/>
      </c>
      <c r="BL54" t="str">
        <f t="shared" si="42"/>
        <v/>
      </c>
      <c r="BM54" s="146"/>
      <c r="BN54" t="str">
        <f t="shared" si="43"/>
        <v/>
      </c>
      <c r="BO54" t="str">
        <f t="shared" si="44"/>
        <v/>
      </c>
      <c r="BP54" t="str">
        <f t="shared" si="25"/>
        <v/>
      </c>
      <c r="BQ54" t="str">
        <f t="shared" si="26"/>
        <v/>
      </c>
      <c r="BR54" t="str">
        <f t="shared" si="27"/>
        <v/>
      </c>
      <c r="BS54" t="str">
        <f t="shared" si="28"/>
        <v/>
      </c>
      <c r="BT54" t="str">
        <f t="shared" si="29"/>
        <v/>
      </c>
      <c r="BU54" t="str">
        <f t="shared" si="45"/>
        <v/>
      </c>
      <c r="BV54" t="str">
        <f t="shared" si="46"/>
        <v/>
      </c>
      <c r="BW54">
        <f>'主翼(桁)'!BG51</f>
        <v>0.10085762484380834</v>
      </c>
      <c r="BX54">
        <f t="shared" si="47"/>
        <v>0.36639019625062225</v>
      </c>
      <c r="BY54">
        <f t="shared" si="48"/>
        <v>0.46724782109443058</v>
      </c>
      <c r="CA54">
        <f t="shared" si="49"/>
        <v>0.85589309912324407</v>
      </c>
      <c r="CB54">
        <f t="shared" si="50"/>
        <v>4.5949487835597783E-2</v>
      </c>
      <c r="CC54">
        <f t="shared" si="51"/>
        <v>0.80994361128764625</v>
      </c>
      <c r="CE54" s="49">
        <f>BY54*パラメーター!$D$5</f>
        <v>4.5776269032621366</v>
      </c>
    </row>
    <row r="55" spans="4:83">
      <c r="D55">
        <f>'主翼(型紙出力)'!B58</f>
        <v>7</v>
      </c>
      <c r="E55">
        <f>'主翼(型紙出力)'!AP58</f>
        <v>1.0499511967476958</v>
      </c>
      <c r="F55">
        <f>'主翼(型紙出力)'!AQ58</f>
        <v>8.8590107712448133E-3</v>
      </c>
      <c r="G55">
        <f>'主翼(型紙出力)'!E58</f>
        <v>0.15</v>
      </c>
      <c r="H55">
        <f>'主翼(型紙出力)'!D58/1000</f>
        <v>1.1000000000000001</v>
      </c>
      <c r="I55" t="str">
        <f>'主翼(型紙出力)'!H58</f>
        <v>full</v>
      </c>
      <c r="J55" t="str">
        <f>'主翼(型紙出力)'!G58</f>
        <v>0番</v>
      </c>
      <c r="K55">
        <f>'主翼(型紙出力)'!L58</f>
        <v>160.52660379928719</v>
      </c>
      <c r="L55">
        <f>'主翼(型紙出力)'!I58</f>
        <v>121.108</v>
      </c>
      <c r="M55">
        <f>'主翼(型紙出力)'!M58</f>
        <v>39.418603799287183</v>
      </c>
      <c r="N55" t="str">
        <f>主翼翼型1!$C$3</f>
        <v>QX0026 root.dat</v>
      </c>
      <c r="O55" cm="1">
        <f t="array" ref="O55">_xlfn.LET(
  _xlpm.y,$E55,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5" t="str">
        <f>主翼翼型2!$C$3</f>
        <v>QX0226.dat</v>
      </c>
      <c r="Q55" cm="1">
        <f t="array" ref="Q55">_xlfn.LET(
  _xlpm.y,$E55,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5" t="str">
        <f>主翼翼型3!$C$3</f>
        <v>QX0126.dat</v>
      </c>
      <c r="S55" cm="1">
        <f t="array" ref="S55">_xlfn.LET(
  _xlpm.y,$E55,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5" t="str">
        <f>主翼翼型4!$C$3</f>
        <v>QX0026 v32.dat</v>
      </c>
      <c r="U55" cm="1">
        <f t="array" ref="U55">_xlfn.LET(
  _xlpm.y,$E55,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5" t="str">
        <f>主翼翼型5!$C$3</f>
        <v>QX0026 v32.dat</v>
      </c>
      <c r="W55" cm="1">
        <f t="array" ref="W55">_xlfn.LET(
  _xlpm.y,$E55,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5" s="233">
        <f t="shared" si="30"/>
        <v>0.11932067128834498</v>
      </c>
      <c r="Y55" s="233">
        <f t="shared" si="0"/>
        <v>1.664203601820988E-3</v>
      </c>
      <c r="Z55" s="233">
        <f t="shared" si="31"/>
        <v>8.3999999999999995E-5</v>
      </c>
      <c r="AA55" s="233">
        <f t="shared" si="1"/>
        <v>5.2147954802208533E-4</v>
      </c>
      <c r="AB55" s="233">
        <f t="shared" si="32"/>
        <v>2.0000000000000002E-5</v>
      </c>
      <c r="AC55" s="233">
        <f t="shared" si="33"/>
        <v>8.3524469901841483E-4</v>
      </c>
      <c r="AD55">
        <f t="shared" si="2"/>
        <v>2.4963054027314819E-4</v>
      </c>
      <c r="AE55">
        <f t="shared" si="3"/>
        <v>1.26E-5</v>
      </c>
      <c r="AF55">
        <f t="shared" si="34"/>
        <v>3.6503568361545974E-6</v>
      </c>
      <c r="AG55">
        <f t="shared" si="35"/>
        <v>3.0000000000000001E-6</v>
      </c>
      <c r="AH55">
        <f t="shared" si="36"/>
        <v>2.25516068734972E-2</v>
      </c>
      <c r="AI55">
        <f t="shared" si="4"/>
        <v>2.1218595923217596E-2</v>
      </c>
      <c r="AJ55">
        <f t="shared" si="37"/>
        <v>1.8616819864388447E-3</v>
      </c>
      <c r="AK55">
        <f t="shared" si="38"/>
        <v>5.4755352542318961E-3</v>
      </c>
      <c r="AL55">
        <f t="shared" si="5"/>
        <v>4.5000000000000005E-3</v>
      </c>
      <c r="AM55">
        <f t="shared" si="39"/>
        <v>2.1825000000000001E-2</v>
      </c>
      <c r="AN55">
        <f t="shared" si="6"/>
        <v>0.28895777621323671</v>
      </c>
      <c r="AO55" s="146"/>
      <c r="AP55" t="str">
        <f t="shared" si="7"/>
        <v/>
      </c>
      <c r="AQ55" t="str">
        <f t="shared" si="8"/>
        <v/>
      </c>
      <c r="AR55" t="str">
        <f t="shared" si="9"/>
        <v/>
      </c>
      <c r="AS55" t="str">
        <f t="shared" si="10"/>
        <v/>
      </c>
      <c r="AT55" t="str">
        <f t="shared" si="11"/>
        <v/>
      </c>
      <c r="AU55" t="str">
        <f t="shared" si="12"/>
        <v/>
      </c>
      <c r="AV55" t="str">
        <f t="shared" si="40"/>
        <v/>
      </c>
      <c r="AW55" s="146"/>
      <c r="AX55" t="str">
        <f t="shared" si="13"/>
        <v/>
      </c>
      <c r="AY55" t="str">
        <f t="shared" si="14"/>
        <v/>
      </c>
      <c r="AZ55" t="str">
        <f t="shared" si="15"/>
        <v/>
      </c>
      <c r="BA55" t="str">
        <f t="shared" si="16"/>
        <v/>
      </c>
      <c r="BB55" t="str">
        <f t="shared" si="17"/>
        <v/>
      </c>
      <c r="BC55" t="str">
        <f t="shared" si="18"/>
        <v/>
      </c>
      <c r="BD55" t="str">
        <f t="shared" si="41"/>
        <v/>
      </c>
      <c r="BE55" s="146"/>
      <c r="BF55" t="str">
        <f t="shared" si="19"/>
        <v/>
      </c>
      <c r="BG55" t="str">
        <f t="shared" si="20"/>
        <v/>
      </c>
      <c r="BH55" t="str">
        <f t="shared" si="21"/>
        <v/>
      </c>
      <c r="BI55" t="str">
        <f t="shared" si="22"/>
        <v/>
      </c>
      <c r="BJ55" t="str">
        <f t="shared" si="23"/>
        <v/>
      </c>
      <c r="BK55" t="str">
        <f t="shared" si="24"/>
        <v/>
      </c>
      <c r="BL55" t="str">
        <f t="shared" si="42"/>
        <v/>
      </c>
      <c r="BM55" s="146"/>
      <c r="BN55" t="str">
        <f t="shared" si="43"/>
        <v/>
      </c>
      <c r="BO55" t="str">
        <f t="shared" si="44"/>
        <v/>
      </c>
      <c r="BP55" t="str">
        <f t="shared" si="25"/>
        <v/>
      </c>
      <c r="BQ55" t="str">
        <f t="shared" si="26"/>
        <v/>
      </c>
      <c r="BR55" t="str">
        <f t="shared" si="27"/>
        <v/>
      </c>
      <c r="BS55" t="str">
        <f t="shared" si="28"/>
        <v/>
      </c>
      <c r="BT55" t="str">
        <f t="shared" si="29"/>
        <v/>
      </c>
      <c r="BU55" t="str">
        <f t="shared" si="45"/>
        <v/>
      </c>
      <c r="BV55" t="str">
        <f t="shared" si="46"/>
        <v/>
      </c>
      <c r="BW55">
        <f>'主翼(桁)'!BG52</f>
        <v>0.10085762484380825</v>
      </c>
      <c r="BX55">
        <f t="shared" si="47"/>
        <v>0.36639019625062225</v>
      </c>
      <c r="BY55">
        <f t="shared" si="48"/>
        <v>0.46724782109443053</v>
      </c>
      <c r="CA55">
        <f t="shared" si="49"/>
        <v>1.1473706449533314</v>
      </c>
      <c r="CB55">
        <f t="shared" si="50"/>
        <v>4.4973129401412931E-2</v>
      </c>
      <c r="CC55">
        <f t="shared" si="51"/>
        <v>1.1023975155519186</v>
      </c>
      <c r="CE55" s="49">
        <f>BY55*パラメーター!$D$5</f>
        <v>4.5776269032621357</v>
      </c>
    </row>
    <row r="56" spans="4:83">
      <c r="D56">
        <f>'主翼(型紙出力)'!B59</f>
        <v>8</v>
      </c>
      <c r="E56">
        <f>'主翼(型紙出力)'!AP59</f>
        <v>1.199928586308596</v>
      </c>
      <c r="F56">
        <f>'主翼(型紙出力)'!AQ59</f>
        <v>1.1463357233987087E-2</v>
      </c>
      <c r="G56">
        <f>'主翼(型紙出力)'!E59</f>
        <v>0.15</v>
      </c>
      <c r="H56">
        <f>'主翼(型紙出力)'!D59/1000</f>
        <v>1.1000000000000001</v>
      </c>
      <c r="I56" t="str">
        <f>'主翼(型紙出力)'!H59</f>
        <v>full</v>
      </c>
      <c r="J56" t="str">
        <f>'主翼(型紙出力)'!G59</f>
        <v>0番</v>
      </c>
      <c r="K56">
        <f>'主翼(型紙出力)'!L59</f>
        <v>160.52660379928719</v>
      </c>
      <c r="L56">
        <f>'主翼(型紙出力)'!I59</f>
        <v>121.108</v>
      </c>
      <c r="M56">
        <f>'主翼(型紙出力)'!M59</f>
        <v>39.418603799287183</v>
      </c>
      <c r="N56" t="str">
        <f>主翼翼型1!$C$3</f>
        <v>QX0026 root.dat</v>
      </c>
      <c r="O56" cm="1">
        <f t="array" ref="O56">_xlfn.LET(
  _xlpm.y,$E56,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6" t="str">
        <f>主翼翼型2!$C$3</f>
        <v>QX0226.dat</v>
      </c>
      <c r="Q56" cm="1">
        <f t="array" ref="Q56">_xlfn.LET(
  _xlpm.y,$E56,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6" t="str">
        <f>主翼翼型3!$C$3</f>
        <v>QX0126.dat</v>
      </c>
      <c r="S56" cm="1">
        <f t="array" ref="S56">_xlfn.LET(
  _xlpm.y,$E56,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6" t="str">
        <f>主翼翼型4!$C$3</f>
        <v>QX0026 v32.dat</v>
      </c>
      <c r="U56" cm="1">
        <f t="array" ref="U56">_xlfn.LET(
  _xlpm.y,$E56,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6" t="str">
        <f>主翼翼型5!$C$3</f>
        <v>QX0026 v32.dat</v>
      </c>
      <c r="W56" cm="1">
        <f t="array" ref="W56">_xlfn.LET(
  _xlpm.y,$E56,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6" s="233">
        <f t="shared" si="30"/>
        <v>0.11932067128834498</v>
      </c>
      <c r="Y56" s="233">
        <f t="shared" si="0"/>
        <v>1.664203601820988E-3</v>
      </c>
      <c r="Z56" s="233">
        <f t="shared" si="31"/>
        <v>8.3999999999999995E-5</v>
      </c>
      <c r="AA56" s="233">
        <f t="shared" si="1"/>
        <v>5.2147954802208533E-4</v>
      </c>
      <c r="AB56" s="233">
        <f t="shared" si="32"/>
        <v>2.0000000000000002E-5</v>
      </c>
      <c r="AC56" s="233">
        <f t="shared" si="33"/>
        <v>8.3524469901841483E-4</v>
      </c>
      <c r="AD56">
        <f t="shared" si="2"/>
        <v>2.4963054027314819E-4</v>
      </c>
      <c r="AE56">
        <f t="shared" si="3"/>
        <v>1.26E-5</v>
      </c>
      <c r="AF56">
        <f t="shared" si="34"/>
        <v>3.6503568361545974E-6</v>
      </c>
      <c r="AG56">
        <f t="shared" si="35"/>
        <v>3.0000000000000001E-6</v>
      </c>
      <c r="AH56">
        <f t="shared" si="36"/>
        <v>2.25516068734972E-2</v>
      </c>
      <c r="AI56">
        <f t="shared" si="4"/>
        <v>2.1218595923217596E-2</v>
      </c>
      <c r="AJ56">
        <f t="shared" si="37"/>
        <v>1.8616819864388447E-3</v>
      </c>
      <c r="AK56">
        <f t="shared" si="38"/>
        <v>5.4755352542318961E-3</v>
      </c>
      <c r="AL56">
        <f t="shared" si="5"/>
        <v>4.5000000000000005E-3</v>
      </c>
      <c r="AM56">
        <f t="shared" si="39"/>
        <v>2.1825000000000001E-2</v>
      </c>
      <c r="AN56">
        <f t="shared" si="6"/>
        <v>0.28895777621323671</v>
      </c>
      <c r="AO56" s="146"/>
      <c r="AP56" t="str">
        <f t="shared" si="7"/>
        <v/>
      </c>
      <c r="AQ56" t="str">
        <f t="shared" si="8"/>
        <v/>
      </c>
      <c r="AR56" t="str">
        <f t="shared" si="9"/>
        <v/>
      </c>
      <c r="AS56" t="str">
        <f t="shared" si="10"/>
        <v/>
      </c>
      <c r="AT56" t="str">
        <f t="shared" si="11"/>
        <v/>
      </c>
      <c r="AU56" t="str">
        <f t="shared" si="12"/>
        <v/>
      </c>
      <c r="AV56" t="str">
        <f t="shared" si="40"/>
        <v/>
      </c>
      <c r="AW56" s="146"/>
      <c r="AX56" t="str">
        <f t="shared" si="13"/>
        <v/>
      </c>
      <c r="AY56" t="str">
        <f t="shared" si="14"/>
        <v/>
      </c>
      <c r="AZ56" t="str">
        <f t="shared" si="15"/>
        <v/>
      </c>
      <c r="BA56" t="str">
        <f t="shared" si="16"/>
        <v/>
      </c>
      <c r="BB56" t="str">
        <f t="shared" si="17"/>
        <v/>
      </c>
      <c r="BC56" t="str">
        <f t="shared" si="18"/>
        <v/>
      </c>
      <c r="BD56" t="str">
        <f t="shared" si="41"/>
        <v/>
      </c>
      <c r="BE56" s="146"/>
      <c r="BF56" t="str">
        <f t="shared" si="19"/>
        <v/>
      </c>
      <c r="BG56" t="str">
        <f t="shared" si="20"/>
        <v/>
      </c>
      <c r="BH56" t="str">
        <f t="shared" si="21"/>
        <v/>
      </c>
      <c r="BI56" t="str">
        <f t="shared" si="22"/>
        <v/>
      </c>
      <c r="BJ56" t="str">
        <f t="shared" si="23"/>
        <v/>
      </c>
      <c r="BK56" t="str">
        <f t="shared" si="24"/>
        <v/>
      </c>
      <c r="BL56" t="str">
        <f t="shared" si="42"/>
        <v/>
      </c>
      <c r="BM56" s="146"/>
      <c r="BN56">
        <f t="shared" si="43"/>
        <v>0.1</v>
      </c>
      <c r="BO56" t="str">
        <f t="shared" si="44"/>
        <v/>
      </c>
      <c r="BP56" t="str">
        <f t="shared" si="25"/>
        <v/>
      </c>
      <c r="BQ56" t="str">
        <f t="shared" si="26"/>
        <v/>
      </c>
      <c r="BR56" t="str">
        <f t="shared" si="27"/>
        <v/>
      </c>
      <c r="BS56" t="str">
        <f t="shared" si="28"/>
        <v/>
      </c>
      <c r="BT56" t="str">
        <f t="shared" si="29"/>
        <v/>
      </c>
      <c r="BU56" t="str">
        <f t="shared" si="45"/>
        <v/>
      </c>
      <c r="BV56" t="str">
        <f t="shared" si="46"/>
        <v/>
      </c>
      <c r="BW56">
        <f>'主翼(桁)'!BG53</f>
        <v>0.10085762484380825</v>
      </c>
      <c r="BX56">
        <f t="shared" si="47"/>
        <v>0.46639019625062228</v>
      </c>
      <c r="BY56">
        <f t="shared" si="48"/>
        <v>0.5672478210944305</v>
      </c>
      <c r="CA56">
        <f t="shared" si="49"/>
        <v>1.4837039235756251</v>
      </c>
      <c r="CB56">
        <f t="shared" si="50"/>
        <v>4.3875311335079444E-2</v>
      </c>
      <c r="CC56">
        <f t="shared" si="51"/>
        <v>1.4398286122405457</v>
      </c>
      <c r="CE56" s="49">
        <f>BY56*パラメーター!$D$5</f>
        <v>5.557326903262136</v>
      </c>
    </row>
    <row r="57" spans="4:83">
      <c r="D57">
        <f>'主翼(型紙出力)'!B60</f>
        <v>9</v>
      </c>
      <c r="E57">
        <f>'主翼(型紙出力)'!AP60</f>
        <v>1.3499026026321155</v>
      </c>
      <c r="F57">
        <f>'主翼(型紙出力)'!AQ60</f>
        <v>1.425520747938514E-2</v>
      </c>
      <c r="G57">
        <f>'主翼(型紙出力)'!E60</f>
        <v>0.17499999999999999</v>
      </c>
      <c r="H57">
        <f>'主翼(型紙出力)'!D60/1000</f>
        <v>1.1000000000000001</v>
      </c>
      <c r="I57" t="str">
        <f>'主翼(型紙出力)'!H60</f>
        <v>full</v>
      </c>
      <c r="J57" t="str">
        <f>'主翼(型紙出力)'!G60</f>
        <v>端リブ</v>
      </c>
      <c r="K57">
        <f>'主翼(型紙出力)'!L60</f>
        <v>160.52660379928719</v>
      </c>
      <c r="L57">
        <f>'主翼(型紙出力)'!I60</f>
        <v>139.80908000000002</v>
      </c>
      <c r="M57">
        <f>'主翼(型紙出力)'!M60</f>
        <v>20.717523799287164</v>
      </c>
      <c r="N57" t="str">
        <f>主翼翼型1!$C$3</f>
        <v>QX0026 root.dat</v>
      </c>
      <c r="O57" cm="1">
        <f t="array" ref="O57">_xlfn.LET(
  _xlpm.y,$E57,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7" t="str">
        <f>主翼翼型2!$C$3</f>
        <v>QX0226.dat</v>
      </c>
      <c r="Q57" cm="1">
        <f t="array" ref="Q57">_xlfn.LET(
  _xlpm.y,$E57,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7" t="str">
        <f>主翼翼型3!$C$3</f>
        <v>QX0126.dat</v>
      </c>
      <c r="S57" cm="1">
        <f t="array" ref="S57">_xlfn.LET(
  _xlpm.y,$E57,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7" t="str">
        <f>主翼翼型4!$C$3</f>
        <v>QX0026 v32.dat</v>
      </c>
      <c r="U57" cm="1">
        <f t="array" ref="U57">_xlfn.LET(
  _xlpm.y,$E57,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7" t="str">
        <f>主翼翼型5!$C$3</f>
        <v>QX0026 v32.dat</v>
      </c>
      <c r="W57" cm="1">
        <f t="array" ref="W57">_xlfn.LET(
  _xlpm.y,$E57,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7" s="233">
        <f t="shared" si="30"/>
        <v>0.11932067128834498</v>
      </c>
      <c r="Y57" s="233">
        <f t="shared" si="0"/>
        <v>1.664203601820988E-3</v>
      </c>
      <c r="Z57" s="233">
        <f t="shared" si="31"/>
        <v>8.3999999999999995E-5</v>
      </c>
      <c r="AA57" s="233">
        <f t="shared" si="1"/>
        <v>5.2147954802208533E-4</v>
      </c>
      <c r="AB57" s="233">
        <f t="shared" si="32"/>
        <v>2.0000000000000002E-5</v>
      </c>
      <c r="AC57" s="233">
        <f t="shared" si="33"/>
        <v>8.3524469901841483E-4</v>
      </c>
      <c r="AD57">
        <f t="shared" si="2"/>
        <v>2.9123563031867289E-4</v>
      </c>
      <c r="AE57">
        <f t="shared" si="3"/>
        <v>1.4699999999999998E-5</v>
      </c>
      <c r="AF57">
        <f t="shared" si="34"/>
        <v>3.6503568361545974E-6</v>
      </c>
      <c r="AG57">
        <f t="shared" si="35"/>
        <v>3.4999999999999999E-6</v>
      </c>
      <c r="AH57" t="str">
        <f t="shared" si="36"/>
        <v/>
      </c>
      <c r="AI57" t="str">
        <f t="shared" si="4"/>
        <v/>
      </c>
      <c r="AJ57" t="str">
        <f t="shared" si="37"/>
        <v/>
      </c>
      <c r="AK57" t="str">
        <f t="shared" si="38"/>
        <v/>
      </c>
      <c r="AL57" t="str">
        <f t="shared" si="5"/>
        <v/>
      </c>
      <c r="AM57" t="str">
        <f t="shared" si="39"/>
        <v/>
      </c>
      <c r="AN57" t="str">
        <f t="shared" si="6"/>
        <v/>
      </c>
      <c r="AO57" s="146"/>
      <c r="AP57" t="str">
        <f t="shared" si="7"/>
        <v/>
      </c>
      <c r="AQ57" t="str">
        <f t="shared" si="8"/>
        <v/>
      </c>
      <c r="AR57" t="str">
        <f t="shared" si="9"/>
        <v/>
      </c>
      <c r="AS57" t="str">
        <f t="shared" si="10"/>
        <v/>
      </c>
      <c r="AT57" t="str">
        <f t="shared" si="11"/>
        <v/>
      </c>
      <c r="AU57" t="str">
        <f t="shared" si="12"/>
        <v/>
      </c>
      <c r="AV57" t="str">
        <f t="shared" si="40"/>
        <v/>
      </c>
      <c r="AW57" s="146"/>
      <c r="AX57" t="str">
        <f t="shared" si="13"/>
        <v/>
      </c>
      <c r="AY57" t="str">
        <f t="shared" si="14"/>
        <v/>
      </c>
      <c r="AZ57" t="str">
        <f t="shared" si="15"/>
        <v/>
      </c>
      <c r="BA57" t="str">
        <f t="shared" si="16"/>
        <v/>
      </c>
      <c r="BB57" t="str">
        <f t="shared" si="17"/>
        <v/>
      </c>
      <c r="BC57" t="str">
        <f t="shared" si="18"/>
        <v/>
      </c>
      <c r="BD57" t="str">
        <f t="shared" si="41"/>
        <v/>
      </c>
      <c r="BE57" s="146"/>
      <c r="BF57" t="str">
        <f t="shared" si="19"/>
        <v/>
      </c>
      <c r="BG57" t="str">
        <f t="shared" si="20"/>
        <v/>
      </c>
      <c r="BH57" t="str">
        <f t="shared" si="21"/>
        <v/>
      </c>
      <c r="BI57" t="str">
        <f t="shared" si="22"/>
        <v/>
      </c>
      <c r="BJ57" t="str">
        <f t="shared" si="23"/>
        <v/>
      </c>
      <c r="BK57" t="str">
        <f t="shared" si="24"/>
        <v/>
      </c>
      <c r="BL57" t="str">
        <f t="shared" si="42"/>
        <v/>
      </c>
      <c r="BM57" s="146"/>
      <c r="BN57" t="str">
        <f t="shared" si="43"/>
        <v/>
      </c>
      <c r="BO57">
        <f t="shared" si="44"/>
        <v>0.1</v>
      </c>
      <c r="BP57">
        <f t="shared" si="25"/>
        <v>0.35438239372638458</v>
      </c>
      <c r="BQ57">
        <f t="shared" si="26"/>
        <v>2.4755028577087196E-2</v>
      </c>
      <c r="BR57">
        <f t="shared" si="27"/>
        <v>1.8616819864388447E-3</v>
      </c>
      <c r="BS57">
        <f t="shared" si="28"/>
        <v>5.4755352542318961E-3</v>
      </c>
      <c r="BT57">
        <f t="shared" si="29"/>
        <v>5.2500000000000003E-3</v>
      </c>
      <c r="BU57">
        <f t="shared" si="45"/>
        <v>2.2574999999999998E-2</v>
      </c>
      <c r="BV57" t="str">
        <f t="shared" si="46"/>
        <v/>
      </c>
      <c r="BW57">
        <f>'主翼(桁)'!BG54</f>
        <v>0.11766722898444305</v>
      </c>
      <c r="BX57">
        <f t="shared" si="47"/>
        <v>0.51429963954414248</v>
      </c>
      <c r="BY57">
        <f t="shared" si="48"/>
        <v>0.63196686852858552</v>
      </c>
      <c r="CA57">
        <f t="shared" si="49"/>
        <v>1.8649505561963973</v>
      </c>
      <c r="CB57">
        <f t="shared" si="50"/>
        <v>4.2713519603438353E-2</v>
      </c>
      <c r="CC57">
        <f t="shared" si="51"/>
        <v>1.822237036592959</v>
      </c>
      <c r="CE57" s="49">
        <f>BY57*パラメーター!$D$5</f>
        <v>6.1913794109745526</v>
      </c>
    </row>
    <row r="58" spans="4:83">
      <c r="D58">
        <f>'主翼(型紙出力)'!B61</f>
        <v>10</v>
      </c>
      <c r="E58">
        <f>'主翼(型紙出力)'!AP61</f>
        <v>1.5248710997352073</v>
      </c>
      <c r="F58">
        <f>'主翼(型紙出力)'!AQ61</f>
        <v>1.757560225792101E-2</v>
      </c>
      <c r="G58">
        <f>'主翼(型紙出力)'!E61</f>
        <v>0.15</v>
      </c>
      <c r="H58">
        <f>'主翼(型紙出力)'!D61/1000</f>
        <v>1.1000000000000001</v>
      </c>
      <c r="I58" t="str">
        <f>'主翼(型紙出力)'!H61</f>
        <v>full</v>
      </c>
      <c r="J58" t="str">
        <f>'主翼(型紙出力)'!G61</f>
        <v>1番</v>
      </c>
      <c r="K58">
        <f>'主翼(型紙出力)'!L61</f>
        <v>160.52660379928719</v>
      </c>
      <c r="L58">
        <f>'主翼(型紙出力)'!I61</f>
        <v>137.95535750000002</v>
      </c>
      <c r="M58">
        <f>'主翼(型紙出力)'!M61</f>
        <v>22.571246299287168</v>
      </c>
      <c r="N58" t="str">
        <f>主翼翼型1!$C$3</f>
        <v>QX0026 root.dat</v>
      </c>
      <c r="O58" cm="1">
        <f t="array" ref="O58">_xlfn.LET(
  _xlpm.y,$E58,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8" t="str">
        <f>主翼翼型2!$C$3</f>
        <v>QX0226.dat</v>
      </c>
      <c r="Q58" cm="1">
        <f t="array" ref="Q58">_xlfn.LET(
  _xlpm.y,$E58,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8" t="str">
        <f>主翼翼型3!$C$3</f>
        <v>QX0126.dat</v>
      </c>
      <c r="S58" cm="1">
        <f t="array" ref="S58">_xlfn.LET(
  _xlpm.y,$E58,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8" t="str">
        <f>主翼翼型4!$C$3</f>
        <v>QX0026 v32.dat</v>
      </c>
      <c r="U58" cm="1">
        <f t="array" ref="U58">_xlfn.LET(
  _xlpm.y,$E58,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8" t="str">
        <f>主翼翼型5!$C$3</f>
        <v>QX0026 v32.dat</v>
      </c>
      <c r="W58" cm="1">
        <f t="array" ref="W58">_xlfn.LET(
  _xlpm.y,$E58,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8" s="233">
        <f t="shared" si="30"/>
        <v>0.11932067128834498</v>
      </c>
      <c r="Y58" s="233">
        <f t="shared" si="0"/>
        <v>1.664203601820988E-3</v>
      </c>
      <c r="Z58" s="233">
        <f t="shared" si="31"/>
        <v>8.3999999999999995E-5</v>
      </c>
      <c r="AA58" s="233">
        <f t="shared" si="1"/>
        <v>5.2147954802208533E-4</v>
      </c>
      <c r="AB58" s="233">
        <f t="shared" si="32"/>
        <v>2.0000000000000002E-5</v>
      </c>
      <c r="AC58" s="233">
        <f t="shared" si="33"/>
        <v>8.3524469901841483E-4</v>
      </c>
      <c r="AD58">
        <f t="shared" si="2"/>
        <v>2.4963054027314819E-4</v>
      </c>
      <c r="AE58">
        <f t="shared" si="3"/>
        <v>1.26E-5</v>
      </c>
      <c r="AF58">
        <f t="shared" si="34"/>
        <v>3.6503568361545974E-6</v>
      </c>
      <c r="AG58">
        <f t="shared" si="35"/>
        <v>3.0000000000000001E-6</v>
      </c>
      <c r="AH58" t="str">
        <f t="shared" si="36"/>
        <v/>
      </c>
      <c r="AI58" t="str">
        <f t="shared" si="4"/>
        <v/>
      </c>
      <c r="AJ58" t="str">
        <f t="shared" si="37"/>
        <v/>
      </c>
      <c r="AK58" t="str">
        <f t="shared" si="38"/>
        <v/>
      </c>
      <c r="AL58" t="str">
        <f t="shared" si="5"/>
        <v/>
      </c>
      <c r="AM58" t="str">
        <f t="shared" si="39"/>
        <v/>
      </c>
      <c r="AN58" t="str">
        <f t="shared" si="6"/>
        <v/>
      </c>
      <c r="AO58" s="146"/>
      <c r="AP58">
        <f t="shared" si="7"/>
        <v>2.25516068734972E-2</v>
      </c>
      <c r="AQ58">
        <f t="shared" si="8"/>
        <v>2.1218595923217596E-2</v>
      </c>
      <c r="AR58">
        <f t="shared" si="9"/>
        <v>1.8616819864388447E-3</v>
      </c>
      <c r="AS58">
        <f t="shared" si="10"/>
        <v>5.4755352542318961E-3</v>
      </c>
      <c r="AT58">
        <f t="shared" si="11"/>
        <v>4.5000000000000005E-3</v>
      </c>
      <c r="AU58">
        <f t="shared" si="12"/>
        <v>2.1825000000000001E-2</v>
      </c>
      <c r="AV58">
        <f t="shared" si="40"/>
        <v>0</v>
      </c>
      <c r="AW58" s="146"/>
      <c r="AX58" t="str">
        <f t="shared" si="13"/>
        <v/>
      </c>
      <c r="AY58" t="str">
        <f t="shared" si="14"/>
        <v/>
      </c>
      <c r="AZ58" t="str">
        <f t="shared" si="15"/>
        <v/>
      </c>
      <c r="BA58" t="str">
        <f t="shared" si="16"/>
        <v/>
      </c>
      <c r="BB58" t="str">
        <f t="shared" si="17"/>
        <v/>
      </c>
      <c r="BC58" t="str">
        <f t="shared" si="18"/>
        <v/>
      </c>
      <c r="BD58" t="str">
        <f t="shared" si="41"/>
        <v/>
      </c>
      <c r="BE58" s="146"/>
      <c r="BF58" t="str">
        <f t="shared" si="19"/>
        <v/>
      </c>
      <c r="BG58" t="str">
        <f t="shared" si="20"/>
        <v/>
      </c>
      <c r="BH58" t="str">
        <f t="shared" si="21"/>
        <v/>
      </c>
      <c r="BI58" t="str">
        <f t="shared" si="22"/>
        <v/>
      </c>
      <c r="BJ58" t="str">
        <f t="shared" si="23"/>
        <v/>
      </c>
      <c r="BK58" t="str">
        <f t="shared" si="24"/>
        <v/>
      </c>
      <c r="BL58" t="str">
        <f t="shared" si="42"/>
        <v/>
      </c>
      <c r="BM58" s="146"/>
      <c r="BN58" t="str">
        <f t="shared" si="43"/>
        <v/>
      </c>
      <c r="BO58" t="str">
        <f t="shared" si="44"/>
        <v/>
      </c>
      <c r="BP58" t="str">
        <f t="shared" si="25"/>
        <v/>
      </c>
      <c r="BQ58" t="str">
        <f t="shared" si="26"/>
        <v/>
      </c>
      <c r="BR58" t="str">
        <f t="shared" si="27"/>
        <v/>
      </c>
      <c r="BS58" t="str">
        <f t="shared" si="28"/>
        <v/>
      </c>
      <c r="BT58" t="str">
        <f t="shared" si="29"/>
        <v/>
      </c>
      <c r="BU58" t="str">
        <f t="shared" si="45"/>
        <v/>
      </c>
      <c r="BV58" t="str">
        <f t="shared" si="46"/>
        <v/>
      </c>
      <c r="BW58">
        <f>'主翼(桁)'!BG55</f>
        <v>0.28409091036357714</v>
      </c>
      <c r="BX58">
        <f t="shared" si="47"/>
        <v>7.7432420037385541E-2</v>
      </c>
      <c r="BY58">
        <f t="shared" si="48"/>
        <v>0.36152333040096268</v>
      </c>
      <c r="CA58">
        <f t="shared" si="49"/>
        <v>2.3665839468954704</v>
      </c>
      <c r="CB58">
        <f t="shared" si="50"/>
        <v>4.1352076087809775E-2</v>
      </c>
      <c r="CC58">
        <f t="shared" si="51"/>
        <v>2.3252318708076607</v>
      </c>
      <c r="CE58" s="49">
        <f>BY58*パラメーター!$D$5</f>
        <v>3.5418440679382317</v>
      </c>
    </row>
    <row r="59" spans="4:83">
      <c r="D59">
        <f>'主翼(型紙出力)'!B62</f>
        <v>11</v>
      </c>
      <c r="E59">
        <f>'主翼(型紙出力)'!AP62</f>
        <v>1.6748433047632105</v>
      </c>
      <c r="F59">
        <f>'主翼(型紙出力)'!AQ62</f>
        <v>2.0463113130373627E-2</v>
      </c>
      <c r="G59">
        <f>'主翼(型紙出力)'!E62</f>
        <v>0.15</v>
      </c>
      <c r="H59">
        <f>'主翼(型紙出力)'!D62/1000</f>
        <v>1.1000000000000001</v>
      </c>
      <c r="I59" t="str">
        <f>'主翼(型紙出力)'!H62</f>
        <v>full</v>
      </c>
      <c r="J59" t="str">
        <f>'主翼(型紙出力)'!G62</f>
        <v>1番</v>
      </c>
      <c r="K59">
        <f>'主翼(型紙出力)'!L62</f>
        <v>160.52660379928719</v>
      </c>
      <c r="L59">
        <f>'主翼(型紙出力)'!I62</f>
        <v>136.36645250000001</v>
      </c>
      <c r="M59">
        <f>'主翼(型紙出力)'!M62</f>
        <v>24.160151299287179</v>
      </c>
      <c r="N59" t="str">
        <f>主翼翼型1!$C$3</f>
        <v>QX0026 root.dat</v>
      </c>
      <c r="O59" cm="1">
        <f t="array" ref="O59">_xlfn.LET(
  _xlpm.y,$E59,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9" t="str">
        <f>主翼翼型2!$C$3</f>
        <v>QX0226.dat</v>
      </c>
      <c r="Q59" cm="1">
        <f t="array" ref="Q59">_xlfn.LET(
  _xlpm.y,$E59,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9" t="str">
        <f>主翼翼型3!$C$3</f>
        <v>QX0126.dat</v>
      </c>
      <c r="S59" cm="1">
        <f t="array" ref="S59">_xlfn.LET(
  _xlpm.y,$E59,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9" t="str">
        <f>主翼翼型4!$C$3</f>
        <v>QX0026 v32.dat</v>
      </c>
      <c r="U59" cm="1">
        <f t="array" ref="U59">_xlfn.LET(
  _xlpm.y,$E59,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9" t="str">
        <f>主翼翼型5!$C$3</f>
        <v>QX0026 v32.dat</v>
      </c>
      <c r="W59" cm="1">
        <f t="array" ref="W59">_xlfn.LET(
  _xlpm.y,$E59,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9" s="233">
        <f t="shared" si="30"/>
        <v>0.11932067128834498</v>
      </c>
      <c r="Y59" s="233">
        <f t="shared" si="0"/>
        <v>1.664203601820988E-3</v>
      </c>
      <c r="Z59" s="233">
        <f t="shared" si="31"/>
        <v>8.3999999999999995E-5</v>
      </c>
      <c r="AA59" s="233">
        <f t="shared" si="1"/>
        <v>5.2147954802208533E-4</v>
      </c>
      <c r="AB59" s="233">
        <f t="shared" si="32"/>
        <v>2.0000000000000002E-5</v>
      </c>
      <c r="AC59" s="233">
        <f t="shared" si="33"/>
        <v>8.3524469901841483E-4</v>
      </c>
      <c r="AD59">
        <f t="shared" si="2"/>
        <v>2.4963054027314819E-4</v>
      </c>
      <c r="AE59">
        <f t="shared" si="3"/>
        <v>1.26E-5</v>
      </c>
      <c r="AF59">
        <f t="shared" si="34"/>
        <v>3.6503568361545974E-6</v>
      </c>
      <c r="AG59">
        <f t="shared" si="35"/>
        <v>3.0000000000000001E-6</v>
      </c>
      <c r="AH59" t="str">
        <f t="shared" si="36"/>
        <v/>
      </c>
      <c r="AI59" t="str">
        <f t="shared" si="4"/>
        <v/>
      </c>
      <c r="AJ59" t="str">
        <f t="shared" si="37"/>
        <v/>
      </c>
      <c r="AK59" t="str">
        <f t="shared" si="38"/>
        <v/>
      </c>
      <c r="AL59" t="str">
        <f t="shared" si="5"/>
        <v/>
      </c>
      <c r="AM59" t="str">
        <f t="shared" si="39"/>
        <v/>
      </c>
      <c r="AN59" t="str">
        <f t="shared" si="6"/>
        <v/>
      </c>
      <c r="AO59" s="146"/>
      <c r="AP59">
        <f t="shared" si="7"/>
        <v>2.25516068734972E-2</v>
      </c>
      <c r="AQ59">
        <f t="shared" si="8"/>
        <v>2.1218595923217596E-2</v>
      </c>
      <c r="AR59">
        <f t="shared" si="9"/>
        <v>1.8616819864388447E-3</v>
      </c>
      <c r="AS59">
        <f t="shared" si="10"/>
        <v>5.4755352542318961E-3</v>
      </c>
      <c r="AT59">
        <f t="shared" si="11"/>
        <v>4.5000000000000005E-3</v>
      </c>
      <c r="AU59">
        <f t="shared" si="12"/>
        <v>2.1825000000000001E-2</v>
      </c>
      <c r="AV59">
        <f t="shared" si="40"/>
        <v>0</v>
      </c>
      <c r="AW59" s="146"/>
      <c r="AX59" t="str">
        <f t="shared" si="13"/>
        <v/>
      </c>
      <c r="AY59" t="str">
        <f t="shared" si="14"/>
        <v/>
      </c>
      <c r="AZ59" t="str">
        <f t="shared" si="15"/>
        <v/>
      </c>
      <c r="BA59" t="str">
        <f t="shared" si="16"/>
        <v/>
      </c>
      <c r="BB59" t="str">
        <f t="shared" si="17"/>
        <v/>
      </c>
      <c r="BC59" t="str">
        <f t="shared" si="18"/>
        <v/>
      </c>
      <c r="BD59" t="str">
        <f t="shared" si="41"/>
        <v/>
      </c>
      <c r="BE59" s="146"/>
      <c r="BF59" t="str">
        <f t="shared" si="19"/>
        <v/>
      </c>
      <c r="BG59" t="str">
        <f t="shared" si="20"/>
        <v/>
      </c>
      <c r="BH59" t="str">
        <f t="shared" si="21"/>
        <v/>
      </c>
      <c r="BI59" t="str">
        <f t="shared" si="22"/>
        <v/>
      </c>
      <c r="BJ59" t="str">
        <f t="shared" si="23"/>
        <v/>
      </c>
      <c r="BK59" t="str">
        <f t="shared" si="24"/>
        <v/>
      </c>
      <c r="BL59" t="str">
        <f t="shared" si="42"/>
        <v/>
      </c>
      <c r="BM59" s="146"/>
      <c r="BN59" t="str">
        <f t="shared" si="43"/>
        <v/>
      </c>
      <c r="BO59" t="str">
        <f t="shared" si="44"/>
        <v/>
      </c>
      <c r="BP59" t="str">
        <f t="shared" si="25"/>
        <v/>
      </c>
      <c r="BQ59" t="str">
        <f t="shared" si="26"/>
        <v/>
      </c>
      <c r="BR59" t="str">
        <f t="shared" si="27"/>
        <v/>
      </c>
      <c r="BS59" t="str">
        <f t="shared" si="28"/>
        <v/>
      </c>
      <c r="BT59" t="str">
        <f t="shared" si="29"/>
        <v/>
      </c>
      <c r="BU59" t="str">
        <f t="shared" si="45"/>
        <v/>
      </c>
      <c r="BV59" t="str">
        <f t="shared" si="46"/>
        <v/>
      </c>
      <c r="BW59">
        <f>'主翼(桁)'!BG56</f>
        <v>0.28192764645013119</v>
      </c>
      <c r="BX59">
        <f t="shared" si="47"/>
        <v>7.7432420037385541E-2</v>
      </c>
      <c r="BY59">
        <f t="shared" si="48"/>
        <v>0.35936006648751673</v>
      </c>
      <c r="CA59">
        <f t="shared" si="49"/>
        <v>2.8452861465245385</v>
      </c>
      <c r="CB59">
        <f t="shared" si="50"/>
        <v>4.0186051014385667E-2</v>
      </c>
      <c r="CC59">
        <f t="shared" si="51"/>
        <v>2.8051000955101526</v>
      </c>
      <c r="CE59" s="49">
        <f>BY59*パラメーター!$D$5</f>
        <v>3.5206505713782015</v>
      </c>
    </row>
    <row r="60" spans="4:83">
      <c r="D60">
        <f>'主翼(型紙出力)'!B63</f>
        <v>12</v>
      </c>
      <c r="E60">
        <f>'主翼(型紙出力)'!AP63</f>
        <v>1.8248144551499446</v>
      </c>
      <c r="F60">
        <f>'主翼(型紙出力)'!AQ63</f>
        <v>2.3404890089904061E-2</v>
      </c>
      <c r="G60">
        <f>'主翼(型紙出力)'!E63</f>
        <v>0.15</v>
      </c>
      <c r="H60">
        <f>'主翼(型紙出力)'!D63/1000</f>
        <v>1.1000000000000001</v>
      </c>
      <c r="I60" t="str">
        <f>'主翼(型紙出力)'!H63</f>
        <v>full</v>
      </c>
      <c r="J60" t="str">
        <f>'主翼(型紙出力)'!G63</f>
        <v>1番</v>
      </c>
      <c r="K60">
        <f>'主翼(型紙出力)'!L63</f>
        <v>160.52660379928719</v>
      </c>
      <c r="L60">
        <f>'主翼(型紙出力)'!I63</f>
        <v>134.76887096774195</v>
      </c>
      <c r="M60">
        <f>'主翼(型紙出力)'!M63</f>
        <v>25.757732831545241</v>
      </c>
      <c r="N60" t="str">
        <f>主翼翼型1!$C$3</f>
        <v>QX0026 root.dat</v>
      </c>
      <c r="O60" cm="1">
        <f t="array" ref="O60">_xlfn.LET(
  _xlpm.y,$E60,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60" t="str">
        <f>主翼翼型2!$C$3</f>
        <v>QX0226.dat</v>
      </c>
      <c r="Q60" cm="1">
        <f t="array" ref="Q60">_xlfn.LET(
  _xlpm.y,$E60,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60" t="str">
        <f>主翼翼型3!$C$3</f>
        <v>QX0126.dat</v>
      </c>
      <c r="S60" cm="1">
        <f t="array" ref="S60">_xlfn.LET(
  _xlpm.y,$E60,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0" t="str">
        <f>主翼翼型4!$C$3</f>
        <v>QX0026 v32.dat</v>
      </c>
      <c r="U60" cm="1">
        <f t="array" ref="U60">_xlfn.LET(
  _xlpm.y,$E60,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0" t="str">
        <f>主翼翼型5!$C$3</f>
        <v>QX0026 v32.dat</v>
      </c>
      <c r="W60" cm="1">
        <f t="array" ref="W60">_xlfn.LET(
  _xlpm.y,$E60,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0" s="233">
        <f t="shared" si="30"/>
        <v>0.11932067128834498</v>
      </c>
      <c r="Y60" s="233">
        <f t="shared" si="0"/>
        <v>1.664203601820988E-3</v>
      </c>
      <c r="Z60" s="233">
        <f t="shared" si="31"/>
        <v>8.3999999999999995E-5</v>
      </c>
      <c r="AA60" s="233">
        <f t="shared" si="1"/>
        <v>5.2147954802208533E-4</v>
      </c>
      <c r="AB60" s="233">
        <f t="shared" si="32"/>
        <v>2.0000000000000002E-5</v>
      </c>
      <c r="AC60" s="233">
        <f t="shared" si="33"/>
        <v>8.3524469901841483E-4</v>
      </c>
      <c r="AD60">
        <f t="shared" si="2"/>
        <v>2.4963054027314819E-4</v>
      </c>
      <c r="AE60">
        <f t="shared" si="3"/>
        <v>1.26E-5</v>
      </c>
      <c r="AF60">
        <f t="shared" si="34"/>
        <v>3.6503568361545974E-6</v>
      </c>
      <c r="AG60">
        <f t="shared" si="35"/>
        <v>3.0000000000000001E-6</v>
      </c>
      <c r="AH60" t="str">
        <f t="shared" si="36"/>
        <v/>
      </c>
      <c r="AI60" t="str">
        <f t="shared" si="4"/>
        <v/>
      </c>
      <c r="AJ60" t="str">
        <f t="shared" si="37"/>
        <v/>
      </c>
      <c r="AK60" t="str">
        <f t="shared" si="38"/>
        <v/>
      </c>
      <c r="AL60" t="str">
        <f t="shared" si="5"/>
        <v/>
      </c>
      <c r="AM60" t="str">
        <f t="shared" si="39"/>
        <v/>
      </c>
      <c r="AN60" t="str">
        <f t="shared" si="6"/>
        <v/>
      </c>
      <c r="AO60" s="146"/>
      <c r="AP60">
        <f t="shared" si="7"/>
        <v>2.25516068734972E-2</v>
      </c>
      <c r="AQ60">
        <f t="shared" si="8"/>
        <v>2.1218595923217596E-2</v>
      </c>
      <c r="AR60">
        <f t="shared" si="9"/>
        <v>1.8616819864388447E-3</v>
      </c>
      <c r="AS60">
        <f t="shared" si="10"/>
        <v>5.4755352542318961E-3</v>
      </c>
      <c r="AT60">
        <f t="shared" si="11"/>
        <v>4.5000000000000005E-3</v>
      </c>
      <c r="AU60">
        <f t="shared" si="12"/>
        <v>2.1825000000000001E-2</v>
      </c>
      <c r="AV60">
        <f t="shared" si="40"/>
        <v>0</v>
      </c>
      <c r="AW60" s="146"/>
      <c r="AX60" t="str">
        <f t="shared" si="13"/>
        <v/>
      </c>
      <c r="AY60" t="str">
        <f t="shared" si="14"/>
        <v/>
      </c>
      <c r="AZ60" t="str">
        <f t="shared" si="15"/>
        <v/>
      </c>
      <c r="BA60" t="str">
        <f t="shared" si="16"/>
        <v/>
      </c>
      <c r="BB60" t="str">
        <f t="shared" si="17"/>
        <v/>
      </c>
      <c r="BC60" t="str">
        <f t="shared" si="18"/>
        <v/>
      </c>
      <c r="BD60" t="str">
        <f t="shared" si="41"/>
        <v/>
      </c>
      <c r="BE60" s="146"/>
      <c r="BF60" t="str">
        <f t="shared" si="19"/>
        <v/>
      </c>
      <c r="BG60" t="str">
        <f t="shared" si="20"/>
        <v/>
      </c>
      <c r="BH60" t="str">
        <f t="shared" si="21"/>
        <v/>
      </c>
      <c r="BI60" t="str">
        <f t="shared" si="22"/>
        <v/>
      </c>
      <c r="BJ60" t="str">
        <f t="shared" si="23"/>
        <v/>
      </c>
      <c r="BK60" t="str">
        <f t="shared" si="24"/>
        <v/>
      </c>
      <c r="BL60" t="str">
        <f t="shared" si="42"/>
        <v/>
      </c>
      <c r="BM60" s="146"/>
      <c r="BN60" t="str">
        <f t="shared" si="43"/>
        <v/>
      </c>
      <c r="BO60" t="str">
        <f t="shared" si="44"/>
        <v/>
      </c>
      <c r="BP60" t="str">
        <f t="shared" si="25"/>
        <v/>
      </c>
      <c r="BQ60" t="str">
        <f t="shared" si="26"/>
        <v/>
      </c>
      <c r="BR60" t="str">
        <f t="shared" si="27"/>
        <v/>
      </c>
      <c r="BS60" t="str">
        <f t="shared" si="28"/>
        <v/>
      </c>
      <c r="BT60" t="str">
        <f t="shared" si="29"/>
        <v/>
      </c>
      <c r="BU60" t="str">
        <f t="shared" si="45"/>
        <v/>
      </c>
      <c r="BV60" t="str">
        <f t="shared" si="46"/>
        <v/>
      </c>
      <c r="BW60">
        <f>'主翼(桁)'!BG57</f>
        <v>0.17889497692497588</v>
      </c>
      <c r="BX60">
        <f t="shared" si="47"/>
        <v>7.7432420037385541E-2</v>
      </c>
      <c r="BY60">
        <f t="shared" si="48"/>
        <v>0.2563273969623614</v>
      </c>
      <c r="CA60">
        <f t="shared" si="49"/>
        <v>3.3689630565782993</v>
      </c>
      <c r="CB60">
        <f t="shared" si="50"/>
        <v>3.9015260854110348E-2</v>
      </c>
      <c r="CC60">
        <f t="shared" si="51"/>
        <v>3.329947795724189</v>
      </c>
      <c r="CE60" s="49">
        <f>BY60*パラメーター!$D$5</f>
        <v>2.511239508040255</v>
      </c>
    </row>
    <row r="61" spans="4:83">
      <c r="D61">
        <f>'主翼(型紙出力)'!B64</f>
        <v>13</v>
      </c>
      <c r="E61">
        <f>'主翼(型紙出力)'!AP64</f>
        <v>1.9747825841603732</v>
      </c>
      <c r="F61">
        <f>'主翼(型紙出力)'!AQ64</f>
        <v>2.6496860515288722E-2</v>
      </c>
      <c r="G61">
        <f>'主翼(型紙出力)'!E64</f>
        <v>0.15</v>
      </c>
      <c r="H61">
        <f>'主翼(型紙出力)'!D64/1000</f>
        <v>1.1000000000000001</v>
      </c>
      <c r="I61" t="str">
        <f>'主翼(型紙出力)'!H64</f>
        <v>full</v>
      </c>
      <c r="J61" t="str">
        <f>'主翼(型紙出力)'!G64</f>
        <v>1番</v>
      </c>
      <c r="K61">
        <f>'主翼(型紙出力)'!L64</f>
        <v>160.52660379928719</v>
      </c>
      <c r="L61">
        <f>'主翼(型紙出力)'!I64</f>
        <v>133.16261290322581</v>
      </c>
      <c r="M61">
        <f>'主翼(型紙出力)'!M64</f>
        <v>27.363990896061381</v>
      </c>
      <c r="N61" t="str">
        <f>主翼翼型1!$C$3</f>
        <v>QX0026 root.dat</v>
      </c>
      <c r="O61" cm="1">
        <f t="array" ref="O61">_xlfn.LET(
  _xlpm.y,$E61,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61" t="str">
        <f>主翼翼型2!$C$3</f>
        <v>QX0226.dat</v>
      </c>
      <c r="Q61" cm="1">
        <f t="array" ref="Q61">_xlfn.LET(
  _xlpm.y,$E61,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61" t="str">
        <f>主翼翼型3!$C$3</f>
        <v>QX0126.dat</v>
      </c>
      <c r="S61" cm="1">
        <f t="array" ref="S61">_xlfn.LET(
  _xlpm.y,$E61,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1" t="str">
        <f>主翼翼型4!$C$3</f>
        <v>QX0026 v32.dat</v>
      </c>
      <c r="U61" cm="1">
        <f t="array" ref="U61">_xlfn.LET(
  _xlpm.y,$E61,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1" t="str">
        <f>主翼翼型5!$C$3</f>
        <v>QX0026 v32.dat</v>
      </c>
      <c r="W61" cm="1">
        <f t="array" ref="W61">_xlfn.LET(
  _xlpm.y,$E61,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1" s="233">
        <f t="shared" si="30"/>
        <v>0.11932067128834498</v>
      </c>
      <c r="Y61" s="233">
        <f t="shared" si="0"/>
        <v>1.664203601820988E-3</v>
      </c>
      <c r="Z61" s="233">
        <f t="shared" si="31"/>
        <v>8.3999999999999995E-5</v>
      </c>
      <c r="AA61" s="233">
        <f t="shared" si="1"/>
        <v>5.2147954802208533E-4</v>
      </c>
      <c r="AB61" s="233">
        <f t="shared" si="32"/>
        <v>2.0000000000000002E-5</v>
      </c>
      <c r="AC61" s="233">
        <f t="shared" si="33"/>
        <v>8.3524469901841483E-4</v>
      </c>
      <c r="AD61">
        <f t="shared" si="2"/>
        <v>2.4963054027314819E-4</v>
      </c>
      <c r="AE61">
        <f t="shared" si="3"/>
        <v>1.26E-5</v>
      </c>
      <c r="AF61">
        <f t="shared" si="34"/>
        <v>3.6503568361545974E-6</v>
      </c>
      <c r="AG61">
        <f t="shared" si="35"/>
        <v>3.0000000000000001E-6</v>
      </c>
      <c r="AH61" t="str">
        <f t="shared" si="36"/>
        <v/>
      </c>
      <c r="AI61" t="str">
        <f t="shared" si="4"/>
        <v/>
      </c>
      <c r="AJ61" t="str">
        <f t="shared" si="37"/>
        <v/>
      </c>
      <c r="AK61" t="str">
        <f t="shared" si="38"/>
        <v/>
      </c>
      <c r="AL61" t="str">
        <f t="shared" si="5"/>
        <v/>
      </c>
      <c r="AM61" t="str">
        <f t="shared" si="39"/>
        <v/>
      </c>
      <c r="AN61" t="str">
        <f t="shared" si="6"/>
        <v/>
      </c>
      <c r="AO61" s="146"/>
      <c r="AP61">
        <f t="shared" si="7"/>
        <v>2.25516068734972E-2</v>
      </c>
      <c r="AQ61">
        <f t="shared" si="8"/>
        <v>2.1218595923217596E-2</v>
      </c>
      <c r="AR61">
        <f t="shared" si="9"/>
        <v>1.8616819864388447E-3</v>
      </c>
      <c r="AS61">
        <f t="shared" si="10"/>
        <v>5.4755352542318961E-3</v>
      </c>
      <c r="AT61">
        <f t="shared" si="11"/>
        <v>4.5000000000000005E-3</v>
      </c>
      <c r="AU61">
        <f t="shared" si="12"/>
        <v>2.1825000000000001E-2</v>
      </c>
      <c r="AV61">
        <f t="shared" si="40"/>
        <v>0</v>
      </c>
      <c r="AW61" s="146"/>
      <c r="AX61" t="str">
        <f t="shared" si="13"/>
        <v/>
      </c>
      <c r="AY61" t="str">
        <f t="shared" si="14"/>
        <v/>
      </c>
      <c r="AZ61" t="str">
        <f t="shared" si="15"/>
        <v/>
      </c>
      <c r="BA61" t="str">
        <f t="shared" si="16"/>
        <v/>
      </c>
      <c r="BB61" t="str">
        <f t="shared" si="17"/>
        <v/>
      </c>
      <c r="BC61" t="str">
        <f t="shared" si="18"/>
        <v/>
      </c>
      <c r="BD61" t="str">
        <f t="shared" si="41"/>
        <v/>
      </c>
      <c r="BE61" s="146"/>
      <c r="BF61" t="str">
        <f t="shared" si="19"/>
        <v/>
      </c>
      <c r="BG61" t="str">
        <f t="shared" si="20"/>
        <v/>
      </c>
      <c r="BH61" t="str">
        <f t="shared" si="21"/>
        <v/>
      </c>
      <c r="BI61" t="str">
        <f t="shared" si="22"/>
        <v/>
      </c>
      <c r="BJ61" t="str">
        <f t="shared" si="23"/>
        <v/>
      </c>
      <c r="BK61" t="str">
        <f t="shared" si="24"/>
        <v/>
      </c>
      <c r="BL61" t="str">
        <f t="shared" si="42"/>
        <v/>
      </c>
      <c r="BM61" s="146"/>
      <c r="BN61" t="str">
        <f t="shared" si="43"/>
        <v/>
      </c>
      <c r="BO61" t="str">
        <f t="shared" si="44"/>
        <v/>
      </c>
      <c r="BP61" t="str">
        <f t="shared" si="25"/>
        <v/>
      </c>
      <c r="BQ61" t="str">
        <f t="shared" si="26"/>
        <v/>
      </c>
      <c r="BR61" t="str">
        <f t="shared" si="27"/>
        <v/>
      </c>
      <c r="BS61" t="str">
        <f t="shared" si="28"/>
        <v/>
      </c>
      <c r="BT61" t="str">
        <f t="shared" si="29"/>
        <v/>
      </c>
      <c r="BU61" t="str">
        <f t="shared" si="45"/>
        <v/>
      </c>
      <c r="BV61" t="str">
        <f t="shared" si="46"/>
        <v/>
      </c>
      <c r="BW61">
        <f>'主翼(桁)'!BG58</f>
        <v>0.17671404185967873</v>
      </c>
      <c r="BX61">
        <f t="shared" si="47"/>
        <v>7.7432420037385541E-2</v>
      </c>
      <c r="BY61">
        <f t="shared" si="48"/>
        <v>0.25414646189706425</v>
      </c>
      <c r="CA61">
        <f t="shared" si="49"/>
        <v>3.9375696064586174</v>
      </c>
      <c r="CB61">
        <f t="shared" si="50"/>
        <v>3.7803351755495936E-2</v>
      </c>
      <c r="CC61">
        <f t="shared" si="51"/>
        <v>3.8997662547031213</v>
      </c>
      <c r="CE61" s="49">
        <f>BY61*パラメーター!$D$5</f>
        <v>2.4898728872055385</v>
      </c>
    </row>
    <row r="62" spans="4:83">
      <c r="D62">
        <f>'主翼(型紙出力)'!B65</f>
        <v>14</v>
      </c>
      <c r="E62">
        <f>'主翼(型紙出力)'!AP65</f>
        <v>2.1247457544604091</v>
      </c>
      <c r="F62">
        <f>'主翼(型紙出力)'!AQ65</f>
        <v>2.9820646543669845E-2</v>
      </c>
      <c r="G62">
        <f>'主翼(型紙出力)'!E65</f>
        <v>0.15</v>
      </c>
      <c r="H62">
        <f>'主翼(型紙出力)'!D65/1000</f>
        <v>1.1000000000000001</v>
      </c>
      <c r="I62" t="str">
        <f>'主翼(型紙出力)'!H65</f>
        <v>full</v>
      </c>
      <c r="J62" t="str">
        <f>'主翼(型紙出力)'!G65</f>
        <v>1番</v>
      </c>
      <c r="K62">
        <f>'主翼(型紙出力)'!L65</f>
        <v>160.52660379928719</v>
      </c>
      <c r="L62">
        <f>'主翼(型紙出力)'!I65</f>
        <v>131.55635483870969</v>
      </c>
      <c r="M62">
        <f>'主翼(型紙出力)'!M65</f>
        <v>28.970248960577493</v>
      </c>
      <c r="N62" t="str">
        <f>主翼翼型1!$C$3</f>
        <v>QX0026 root.dat</v>
      </c>
      <c r="O62" cm="1">
        <f t="array" ref="O62">_xlfn.LET(
  _xlpm.y,$E62,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62" t="str">
        <f>主翼翼型2!$C$3</f>
        <v>QX0226.dat</v>
      </c>
      <c r="Q62" cm="1">
        <f t="array" ref="Q62">_xlfn.LET(
  _xlpm.y,$E62,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62" t="str">
        <f>主翼翼型3!$C$3</f>
        <v>QX0126.dat</v>
      </c>
      <c r="S62" cm="1">
        <f t="array" ref="S62">_xlfn.LET(
  _xlpm.y,$E62,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2" t="str">
        <f>主翼翼型4!$C$3</f>
        <v>QX0026 v32.dat</v>
      </c>
      <c r="U62" cm="1">
        <f t="array" ref="U62">_xlfn.LET(
  _xlpm.y,$E62,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2" t="str">
        <f>主翼翼型5!$C$3</f>
        <v>QX0026 v32.dat</v>
      </c>
      <c r="W62" cm="1">
        <f t="array" ref="W62">_xlfn.LET(
  _xlpm.y,$E62,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2" s="233">
        <f t="shared" si="30"/>
        <v>0.11932067128834498</v>
      </c>
      <c r="Y62" s="233">
        <f t="shared" si="0"/>
        <v>1.664203601820988E-3</v>
      </c>
      <c r="Z62" s="233">
        <f t="shared" si="31"/>
        <v>8.3999999999999995E-5</v>
      </c>
      <c r="AA62" s="233">
        <f t="shared" si="1"/>
        <v>5.2147954802208533E-4</v>
      </c>
      <c r="AB62" s="233">
        <f t="shared" si="32"/>
        <v>2.0000000000000002E-5</v>
      </c>
      <c r="AC62" s="233">
        <f t="shared" si="33"/>
        <v>8.3524469901841483E-4</v>
      </c>
      <c r="AD62">
        <f t="shared" si="2"/>
        <v>2.4963054027314819E-4</v>
      </c>
      <c r="AE62">
        <f t="shared" si="3"/>
        <v>1.26E-5</v>
      </c>
      <c r="AF62">
        <f t="shared" si="34"/>
        <v>3.6503568361545974E-6</v>
      </c>
      <c r="AG62">
        <f t="shared" si="35"/>
        <v>3.0000000000000001E-6</v>
      </c>
      <c r="AH62" t="str">
        <f t="shared" si="36"/>
        <v/>
      </c>
      <c r="AI62" t="str">
        <f t="shared" si="4"/>
        <v/>
      </c>
      <c r="AJ62" t="str">
        <f t="shared" si="37"/>
        <v/>
      </c>
      <c r="AK62" t="str">
        <f t="shared" si="38"/>
        <v/>
      </c>
      <c r="AL62" t="str">
        <f t="shared" si="5"/>
        <v/>
      </c>
      <c r="AM62" t="str">
        <f t="shared" si="39"/>
        <v/>
      </c>
      <c r="AN62" t="str">
        <f t="shared" si="6"/>
        <v/>
      </c>
      <c r="AO62" s="146"/>
      <c r="AP62">
        <f t="shared" si="7"/>
        <v>2.25516068734972E-2</v>
      </c>
      <c r="AQ62">
        <f t="shared" si="8"/>
        <v>2.1218595923217596E-2</v>
      </c>
      <c r="AR62">
        <f t="shared" si="9"/>
        <v>1.8616819864388447E-3</v>
      </c>
      <c r="AS62">
        <f t="shared" si="10"/>
        <v>5.4755352542318961E-3</v>
      </c>
      <c r="AT62">
        <f t="shared" si="11"/>
        <v>4.5000000000000005E-3</v>
      </c>
      <c r="AU62">
        <f t="shared" si="12"/>
        <v>2.1825000000000001E-2</v>
      </c>
      <c r="AV62">
        <f t="shared" si="40"/>
        <v>0</v>
      </c>
      <c r="AW62" s="146"/>
      <c r="AX62" t="str">
        <f t="shared" si="13"/>
        <v/>
      </c>
      <c r="AY62" t="str">
        <f t="shared" si="14"/>
        <v/>
      </c>
      <c r="AZ62" t="str">
        <f t="shared" si="15"/>
        <v/>
      </c>
      <c r="BA62" t="str">
        <f t="shared" si="16"/>
        <v/>
      </c>
      <c r="BB62" t="str">
        <f t="shared" si="17"/>
        <v/>
      </c>
      <c r="BC62" t="str">
        <f t="shared" si="18"/>
        <v/>
      </c>
      <c r="BD62" t="str">
        <f t="shared" si="41"/>
        <v/>
      </c>
      <c r="BE62" s="146"/>
      <c r="BF62" t="str">
        <f t="shared" si="19"/>
        <v/>
      </c>
      <c r="BG62" t="str">
        <f t="shared" si="20"/>
        <v/>
      </c>
      <c r="BH62" t="str">
        <f t="shared" si="21"/>
        <v/>
      </c>
      <c r="BI62" t="str">
        <f t="shared" si="22"/>
        <v/>
      </c>
      <c r="BJ62" t="str">
        <f t="shared" si="23"/>
        <v/>
      </c>
      <c r="BK62" t="str">
        <f t="shared" si="24"/>
        <v/>
      </c>
      <c r="BL62" t="str">
        <f t="shared" si="42"/>
        <v/>
      </c>
      <c r="BM62" s="146"/>
      <c r="BN62" t="str">
        <f t="shared" si="43"/>
        <v/>
      </c>
      <c r="BO62" t="str">
        <f t="shared" si="44"/>
        <v/>
      </c>
      <c r="BP62" t="str">
        <f t="shared" si="25"/>
        <v/>
      </c>
      <c r="BQ62" t="str">
        <f t="shared" si="26"/>
        <v/>
      </c>
      <c r="BR62" t="str">
        <f t="shared" si="27"/>
        <v/>
      </c>
      <c r="BS62" t="str">
        <f t="shared" si="28"/>
        <v/>
      </c>
      <c r="BT62" t="str">
        <f t="shared" si="29"/>
        <v/>
      </c>
      <c r="BU62" t="str">
        <f t="shared" si="45"/>
        <v/>
      </c>
      <c r="BV62" t="str">
        <f t="shared" si="46"/>
        <v/>
      </c>
      <c r="BW62">
        <f>'主翼(桁)'!BG59</f>
        <v>0.1745331067943815</v>
      </c>
      <c r="BX62">
        <f t="shared" si="47"/>
        <v>7.7432420037385541E-2</v>
      </c>
      <c r="BY62">
        <f t="shared" si="48"/>
        <v>0.25196552683176704</v>
      </c>
      <c r="CA62">
        <f t="shared" si="49"/>
        <v>4.5510664273840034</v>
      </c>
      <c r="CB62">
        <f t="shared" si="50"/>
        <v>3.6521906286470777E-2</v>
      </c>
      <c r="CC62">
        <f t="shared" si="51"/>
        <v>4.514544521097533</v>
      </c>
      <c r="CE62" s="49">
        <f>BY62*パラメーター!$D$5</f>
        <v>2.4685062663708219</v>
      </c>
    </row>
    <row r="63" spans="4:83">
      <c r="D63">
        <f>'主翼(型紙出力)'!B66</f>
        <v>15</v>
      </c>
      <c r="E63">
        <f>'主翼(型紙出力)'!AP66</f>
        <v>2.2747035942582499</v>
      </c>
      <c r="F63">
        <f>'主翼(型紙出力)'!AQ66</f>
        <v>3.3376807839952956E-2</v>
      </c>
      <c r="G63">
        <f>'主翼(型紙出力)'!E66</f>
        <v>0.15</v>
      </c>
      <c r="H63">
        <f>'主翼(型紙出力)'!D66/1000</f>
        <v>1.1000000000000001</v>
      </c>
      <c r="I63" t="str">
        <f>'主翼(型紙出力)'!H66</f>
        <v>full</v>
      </c>
      <c r="J63" t="str">
        <f>'主翼(型紙出力)'!G66</f>
        <v>1番</v>
      </c>
      <c r="K63">
        <f>'主翼(型紙出力)'!L66</f>
        <v>160.52660379928719</v>
      </c>
      <c r="L63">
        <f>'主翼(型紙出力)'!I66</f>
        <v>129.95009677419355</v>
      </c>
      <c r="M63">
        <f>'主翼(型紙出力)'!M66</f>
        <v>30.576507025093633</v>
      </c>
      <c r="N63" t="str">
        <f>主翼翼型1!$C$3</f>
        <v>QX0026 root.dat</v>
      </c>
      <c r="O63" cm="1">
        <f t="array" ref="O63">_xlfn.LET(
  _xlpm.y,$E63,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63" t="str">
        <f>主翼翼型2!$C$3</f>
        <v>QX0226.dat</v>
      </c>
      <c r="Q63" cm="1">
        <f t="array" ref="Q63">_xlfn.LET(
  _xlpm.y,$E63,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63" t="str">
        <f>主翼翼型3!$C$3</f>
        <v>QX0126.dat</v>
      </c>
      <c r="S63" cm="1">
        <f t="array" ref="S63">_xlfn.LET(
  _xlpm.y,$E63,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3" t="str">
        <f>主翼翼型4!$C$3</f>
        <v>QX0026 v32.dat</v>
      </c>
      <c r="U63" cm="1">
        <f t="array" ref="U63">_xlfn.LET(
  _xlpm.y,$E63,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3" t="str">
        <f>主翼翼型5!$C$3</f>
        <v>QX0026 v32.dat</v>
      </c>
      <c r="W63" cm="1">
        <f t="array" ref="W63">_xlfn.LET(
  _xlpm.y,$E63,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3" s="233">
        <f t="shared" si="30"/>
        <v>0.11932067128834498</v>
      </c>
      <c r="Y63" s="233">
        <f t="shared" si="0"/>
        <v>1.664203601820988E-3</v>
      </c>
      <c r="Z63" s="233">
        <f t="shared" si="31"/>
        <v>8.3999999999999995E-5</v>
      </c>
      <c r="AA63" s="233">
        <f t="shared" si="1"/>
        <v>5.2147954802208533E-4</v>
      </c>
      <c r="AB63" s="233">
        <f t="shared" si="32"/>
        <v>2.0000000000000002E-5</v>
      </c>
      <c r="AC63" s="233">
        <f t="shared" si="33"/>
        <v>8.3524469901841483E-4</v>
      </c>
      <c r="AD63">
        <f t="shared" si="2"/>
        <v>2.4963054027314819E-4</v>
      </c>
      <c r="AE63">
        <f t="shared" si="3"/>
        <v>1.26E-5</v>
      </c>
      <c r="AF63">
        <f t="shared" si="34"/>
        <v>3.6503568361545974E-6</v>
      </c>
      <c r="AG63">
        <f t="shared" si="35"/>
        <v>3.0000000000000001E-6</v>
      </c>
      <c r="AH63" t="str">
        <f t="shared" si="36"/>
        <v/>
      </c>
      <c r="AI63" t="str">
        <f t="shared" si="4"/>
        <v/>
      </c>
      <c r="AJ63" t="str">
        <f t="shared" si="37"/>
        <v/>
      </c>
      <c r="AK63" t="str">
        <f t="shared" si="38"/>
        <v/>
      </c>
      <c r="AL63" t="str">
        <f t="shared" si="5"/>
        <v/>
      </c>
      <c r="AM63" t="str">
        <f t="shared" si="39"/>
        <v/>
      </c>
      <c r="AN63" t="str">
        <f t="shared" si="6"/>
        <v/>
      </c>
      <c r="AO63" s="146"/>
      <c r="AP63">
        <f t="shared" si="7"/>
        <v>2.25516068734972E-2</v>
      </c>
      <c r="AQ63">
        <f t="shared" si="8"/>
        <v>2.1218595923217596E-2</v>
      </c>
      <c r="AR63">
        <f t="shared" si="9"/>
        <v>1.8616819864388447E-3</v>
      </c>
      <c r="AS63">
        <f t="shared" si="10"/>
        <v>5.4755352542318961E-3</v>
      </c>
      <c r="AT63">
        <f t="shared" si="11"/>
        <v>4.5000000000000005E-3</v>
      </c>
      <c r="AU63">
        <f t="shared" si="12"/>
        <v>2.1825000000000001E-2</v>
      </c>
      <c r="AV63">
        <f t="shared" si="40"/>
        <v>0</v>
      </c>
      <c r="AW63" s="146"/>
      <c r="AX63" t="str">
        <f t="shared" si="13"/>
        <v/>
      </c>
      <c r="AY63" t="str">
        <f t="shared" si="14"/>
        <v/>
      </c>
      <c r="AZ63" t="str">
        <f t="shared" si="15"/>
        <v/>
      </c>
      <c r="BA63" t="str">
        <f t="shared" si="16"/>
        <v/>
      </c>
      <c r="BB63" t="str">
        <f t="shared" si="17"/>
        <v/>
      </c>
      <c r="BC63" t="str">
        <f t="shared" si="18"/>
        <v/>
      </c>
      <c r="BD63" t="str">
        <f t="shared" si="41"/>
        <v/>
      </c>
      <c r="BE63" s="146"/>
      <c r="BF63" t="str">
        <f t="shared" si="19"/>
        <v/>
      </c>
      <c r="BG63" t="str">
        <f t="shared" si="20"/>
        <v/>
      </c>
      <c r="BH63" t="str">
        <f t="shared" si="21"/>
        <v/>
      </c>
      <c r="BI63" t="str">
        <f t="shared" si="22"/>
        <v/>
      </c>
      <c r="BJ63" t="str">
        <f t="shared" si="23"/>
        <v/>
      </c>
      <c r="BK63" t="str">
        <f t="shared" si="24"/>
        <v/>
      </c>
      <c r="BL63" t="str">
        <f t="shared" si="42"/>
        <v/>
      </c>
      <c r="BM63" s="146"/>
      <c r="BN63" t="str">
        <f t="shared" si="43"/>
        <v/>
      </c>
      <c r="BO63" t="str">
        <f t="shared" si="44"/>
        <v/>
      </c>
      <c r="BP63" t="str">
        <f t="shared" si="25"/>
        <v/>
      </c>
      <c r="BQ63" t="str">
        <f t="shared" si="26"/>
        <v/>
      </c>
      <c r="BR63" t="str">
        <f t="shared" si="27"/>
        <v/>
      </c>
      <c r="BS63" t="str">
        <f t="shared" si="28"/>
        <v/>
      </c>
      <c r="BT63" t="str">
        <f t="shared" si="29"/>
        <v/>
      </c>
      <c r="BU63" t="str">
        <f t="shared" si="45"/>
        <v/>
      </c>
      <c r="BV63" t="str">
        <f t="shared" si="46"/>
        <v/>
      </c>
      <c r="BW63">
        <f>'主翼(桁)'!BG60</f>
        <v>0.17235217172908449</v>
      </c>
      <c r="BX63">
        <f t="shared" si="47"/>
        <v>7.7432420037385541E-2</v>
      </c>
      <c r="BY63">
        <f t="shared" si="48"/>
        <v>0.24978459176647003</v>
      </c>
      <c r="CA63">
        <f t="shared" si="49"/>
        <v>5.2094517792795907</v>
      </c>
      <c r="CB63">
        <f t="shared" si="50"/>
        <v>3.5175337548190203E-2</v>
      </c>
      <c r="CC63">
        <f t="shared" si="51"/>
        <v>5.1742764417314007</v>
      </c>
      <c r="CE63" s="49">
        <f>BY63*パラメーター!$D$5</f>
        <v>2.4471396455361072</v>
      </c>
    </row>
    <row r="64" spans="4:83">
      <c r="D64">
        <f>'主翼(型紙出力)'!B67</f>
        <v>16</v>
      </c>
      <c r="E64">
        <f>'主翼(型紙出力)'!AP67</f>
        <v>2.4246557291274353</v>
      </c>
      <c r="F64">
        <f>'主翼(型紙出力)'!AQ67</f>
        <v>3.7165903797246859E-2</v>
      </c>
      <c r="G64">
        <f>'主翼(型紙出力)'!E67</f>
        <v>0.15</v>
      </c>
      <c r="H64">
        <f>'主翼(型紙出力)'!D67/1000</f>
        <v>1.088233009708738</v>
      </c>
      <c r="I64" t="str">
        <f>'主翼(型紙出力)'!H67</f>
        <v>full</v>
      </c>
      <c r="J64" t="str">
        <f>'主翼(型紙出力)'!G67</f>
        <v>1番</v>
      </c>
      <c r="K64">
        <f>'主翼(型紙出力)'!L67</f>
        <v>158.42711405017457</v>
      </c>
      <c r="L64">
        <f>'主翼(型紙出力)'!I67</f>
        <v>128.34383870967744</v>
      </c>
      <c r="M64">
        <f>'主翼(型紙出力)'!M67</f>
        <v>30.083275340497124</v>
      </c>
      <c r="N64" t="str">
        <f>主翼翼型1!$C$3</f>
        <v>QX0026 root.dat</v>
      </c>
      <c r="O64" cm="1">
        <f t="array" ref="O64">_xlfn.LET(
  _xlpm.y,$E64,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0.94188127024177271</v>
      </c>
      <c r="P64" t="str">
        <f>主翼翼型2!$C$3</f>
        <v>QX0226.dat</v>
      </c>
      <c r="Q64" cm="1">
        <f t="array" ref="Q64">_xlfn.LET(
  _xlpm.y,$E64,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5.811872975822735E-2</v>
      </c>
      <c r="R64" t="str">
        <f>主翼翼型3!$C$3</f>
        <v>QX0126.dat</v>
      </c>
      <c r="S64" cm="1">
        <f t="array" ref="S64">_xlfn.LET(
  _xlpm.y,$E64,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4" t="str">
        <f>主翼翼型4!$C$3</f>
        <v>QX0026 v32.dat</v>
      </c>
      <c r="U64" cm="1">
        <f t="array" ref="U64">_xlfn.LET(
  _xlpm.y,$E64,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4" t="str">
        <f>主翼翼型5!$C$3</f>
        <v>QX0026 v32.dat</v>
      </c>
      <c r="W64" cm="1">
        <f t="array" ref="W64">_xlfn.LET(
  _xlpm.y,$E64,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4" s="233">
        <f t="shared" si="30"/>
        <v>0.11654255298297697</v>
      </c>
      <c r="Y64" s="233">
        <f t="shared" si="0"/>
        <v>1.646562836058917E-3</v>
      </c>
      <c r="Z64" s="233">
        <f t="shared" si="31"/>
        <v>8.3999999999999995E-5</v>
      </c>
      <c r="AA64" s="233">
        <f t="shared" si="1"/>
        <v>5.1584474556407511E-4</v>
      </c>
      <c r="AB64" s="233">
        <f t="shared" si="32"/>
        <v>2.0000000000000002E-5</v>
      </c>
      <c r="AC64" s="233">
        <f t="shared" si="33"/>
        <v>8.1579787088083885E-4</v>
      </c>
      <c r="AD64">
        <f t="shared" si="2"/>
        <v>2.4698442540883756E-4</v>
      </c>
      <c r="AE64">
        <f t="shared" si="3"/>
        <v>1.26E-5</v>
      </c>
      <c r="AF64">
        <f t="shared" si="34"/>
        <v>3.610913218948526E-6</v>
      </c>
      <c r="AG64">
        <f t="shared" si="35"/>
        <v>3.0000000000000001E-6</v>
      </c>
      <c r="AH64" t="str">
        <f t="shared" si="36"/>
        <v/>
      </c>
      <c r="AI64" t="str">
        <f t="shared" si="4"/>
        <v/>
      </c>
      <c r="AJ64" t="str">
        <f t="shared" si="37"/>
        <v/>
      </c>
      <c r="AK64" t="str">
        <f t="shared" si="38"/>
        <v/>
      </c>
      <c r="AL64" t="str">
        <f t="shared" si="5"/>
        <v/>
      </c>
      <c r="AM64" t="str">
        <f t="shared" si="39"/>
        <v/>
      </c>
      <c r="AN64" t="str">
        <f t="shared" si="6"/>
        <v/>
      </c>
      <c r="AO64" s="146"/>
      <c r="AP64">
        <f t="shared" si="7"/>
        <v>2.2026542513782648E-2</v>
      </c>
      <c r="AQ64">
        <f t="shared" si="8"/>
        <v>2.0993676159751191E-2</v>
      </c>
      <c r="AR64">
        <f t="shared" si="9"/>
        <v>1.8415657416637483E-3</v>
      </c>
      <c r="AS64">
        <f t="shared" si="10"/>
        <v>5.4163698284227894E-3</v>
      </c>
      <c r="AT64">
        <f t="shared" si="11"/>
        <v>4.5000000000000005E-3</v>
      </c>
      <c r="AU64">
        <f t="shared" si="12"/>
        <v>2.1543630698463573E-2</v>
      </c>
      <c r="AV64">
        <f t="shared" si="40"/>
        <v>0</v>
      </c>
      <c r="AW64" s="146"/>
      <c r="AX64" t="str">
        <f t="shared" si="13"/>
        <v/>
      </c>
      <c r="AY64" t="str">
        <f t="shared" si="14"/>
        <v/>
      </c>
      <c r="AZ64" t="str">
        <f t="shared" si="15"/>
        <v/>
      </c>
      <c r="BA64" t="str">
        <f t="shared" si="16"/>
        <v/>
      </c>
      <c r="BB64" t="str">
        <f t="shared" si="17"/>
        <v/>
      </c>
      <c r="BC64" t="str">
        <f t="shared" si="18"/>
        <v/>
      </c>
      <c r="BD64" t="str">
        <f t="shared" si="41"/>
        <v/>
      </c>
      <c r="BE64" s="146"/>
      <c r="BF64" t="str">
        <f t="shared" si="19"/>
        <v/>
      </c>
      <c r="BG64" t="str">
        <f t="shared" si="20"/>
        <v/>
      </c>
      <c r="BH64" t="str">
        <f t="shared" si="21"/>
        <v/>
      </c>
      <c r="BI64" t="str">
        <f t="shared" si="22"/>
        <v/>
      </c>
      <c r="BJ64" t="str">
        <f t="shared" si="23"/>
        <v/>
      </c>
      <c r="BK64" t="str">
        <f t="shared" si="24"/>
        <v/>
      </c>
      <c r="BL64" t="str">
        <f t="shared" si="42"/>
        <v/>
      </c>
      <c r="BM64" s="146"/>
      <c r="BN64" t="str">
        <f t="shared" si="43"/>
        <v/>
      </c>
      <c r="BO64" t="str">
        <f t="shared" si="44"/>
        <v/>
      </c>
      <c r="BP64" t="str">
        <f t="shared" si="25"/>
        <v/>
      </c>
      <c r="BQ64" t="str">
        <f t="shared" si="26"/>
        <v/>
      </c>
      <c r="BR64" t="str">
        <f t="shared" si="27"/>
        <v/>
      </c>
      <c r="BS64" t="str">
        <f t="shared" si="28"/>
        <v/>
      </c>
      <c r="BT64" t="str">
        <f t="shared" si="29"/>
        <v/>
      </c>
      <c r="BU64" t="str">
        <f t="shared" si="45"/>
        <v/>
      </c>
      <c r="BV64" t="str">
        <f t="shared" si="46"/>
        <v/>
      </c>
      <c r="BW64">
        <f>'主翼(桁)'!BG61</f>
        <v>0.17017123666378747</v>
      </c>
      <c r="BX64">
        <f t="shared" si="47"/>
        <v>7.6321784942083956E-2</v>
      </c>
      <c r="BY64">
        <f t="shared" si="48"/>
        <v>0.24649302160587144</v>
      </c>
      <c r="CA64">
        <f t="shared" si="49"/>
        <v>5.9127238029242735</v>
      </c>
      <c r="CB64">
        <f t="shared" si="50"/>
        <v>3.3768398133778736E-2</v>
      </c>
      <c r="CC64">
        <f t="shared" si="51"/>
        <v>5.8789554047904948</v>
      </c>
      <c r="CE64" s="49">
        <f>BY64*パラメーター!$D$5</f>
        <v>2.4148921326727226</v>
      </c>
    </row>
    <row r="65" spans="4:83">
      <c r="D65">
        <f>'主翼(型紙出力)'!B68</f>
        <v>17</v>
      </c>
      <c r="E65">
        <f>'主翼(型紙出力)'!AP68</f>
        <v>2.5746017819792155</v>
      </c>
      <c r="F65">
        <f>'主翼(型紙出力)'!AQ68</f>
        <v>4.1188494277411752E-2</v>
      </c>
      <c r="G65">
        <f>'主翼(型紙出力)'!E68</f>
        <v>0.15</v>
      </c>
      <c r="H65">
        <f>'主翼(型紙出力)'!D68/1000</f>
        <v>1.076466019417476</v>
      </c>
      <c r="I65" t="str">
        <f>'主翼(型紙出力)'!H68</f>
        <v>full</v>
      </c>
      <c r="J65" t="str">
        <f>'主翼(型紙出力)'!G68</f>
        <v>1番</v>
      </c>
      <c r="K65">
        <f>'主翼(型紙出力)'!L68</f>
        <v>156.3358917462443</v>
      </c>
      <c r="L65">
        <f>'主翼(型紙出力)'!I68</f>
        <v>126.7375806451613</v>
      </c>
      <c r="M65">
        <f>'主翼(型紙出力)'!M68</f>
        <v>29.598311101082999</v>
      </c>
      <c r="N65" t="str">
        <f>主翼翼型1!$C$3</f>
        <v>QX0026 root.dat</v>
      </c>
      <c r="O65" cm="1">
        <f t="array" ref="O65">_xlfn.LET(
  _xlpm.y,$E65,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0.88364979340612981</v>
      </c>
      <c r="P65" t="str">
        <f>主翼翼型2!$C$3</f>
        <v>QX0226.dat</v>
      </c>
      <c r="Q65" cm="1">
        <f t="array" ref="Q65">_xlfn.LET(
  _xlpm.y,$E65,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0.11635020659387015</v>
      </c>
      <c r="R65" t="str">
        <f>主翼翼型3!$C$3</f>
        <v>QX0126.dat</v>
      </c>
      <c r="S65" cm="1">
        <f t="array" ref="S65">_xlfn.LET(
  _xlpm.y,$E65,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5" t="str">
        <f>主翼翼型4!$C$3</f>
        <v>QX0026 v32.dat</v>
      </c>
      <c r="U65" cm="1">
        <f t="array" ref="U65">_xlfn.LET(
  _xlpm.y,$E65,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5" t="str">
        <f>主翼翼型5!$C$3</f>
        <v>QX0026 v32.dat</v>
      </c>
      <c r="W65" cm="1">
        <f t="array" ref="W65">_xlfn.LET(
  _xlpm.y,$E65,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5" s="233">
        <f t="shared" si="30"/>
        <v>0.11380156883118665</v>
      </c>
      <c r="Y65" s="233">
        <f t="shared" si="0"/>
        <v>1.6289188844924986E-3</v>
      </c>
      <c r="Z65" s="233">
        <f t="shared" si="31"/>
        <v>8.3999999999999995E-5</v>
      </c>
      <c r="AA65" s="233">
        <f t="shared" si="1"/>
        <v>5.1021105453793666E-4</v>
      </c>
      <c r="AB65" s="233">
        <f t="shared" si="32"/>
        <v>2.0000000000000002E-5</v>
      </c>
      <c r="AC65" s="233">
        <f t="shared" si="33"/>
        <v>7.9661098181830656E-4</v>
      </c>
      <c r="AD65">
        <f t="shared" si="2"/>
        <v>2.443378326738748E-4</v>
      </c>
      <c r="AE65">
        <f t="shared" si="3"/>
        <v>1.26E-5</v>
      </c>
      <c r="AF65">
        <f t="shared" si="34"/>
        <v>3.5714773817655569E-6</v>
      </c>
      <c r="AG65">
        <f t="shared" si="35"/>
        <v>3.0000000000000001E-6</v>
      </c>
      <c r="AH65" t="str">
        <f t="shared" si="36"/>
        <v/>
      </c>
      <c r="AI65" t="str">
        <f t="shared" si="4"/>
        <v/>
      </c>
      <c r="AJ65" t="str">
        <f t="shared" si="37"/>
        <v/>
      </c>
      <c r="AK65" t="str">
        <f t="shared" si="38"/>
        <v/>
      </c>
      <c r="AL65" t="str">
        <f t="shared" si="5"/>
        <v/>
      </c>
      <c r="AM65" t="str">
        <f t="shared" si="39"/>
        <v/>
      </c>
      <c r="AN65" t="str">
        <f t="shared" si="6"/>
        <v/>
      </c>
      <c r="AO65" s="146"/>
      <c r="AP65">
        <f t="shared" si="7"/>
        <v>2.1508496509094276E-2</v>
      </c>
      <c r="AQ65">
        <f t="shared" si="8"/>
        <v>2.0768715777279359E-2</v>
      </c>
      <c r="AR65">
        <f t="shared" si="9"/>
        <v>1.821453464700434E-3</v>
      </c>
      <c r="AS65">
        <f t="shared" si="10"/>
        <v>5.357216072648335E-3</v>
      </c>
      <c r="AT65">
        <f t="shared" si="11"/>
        <v>4.5000000000000005E-3</v>
      </c>
      <c r="AU65">
        <f t="shared" si="12"/>
        <v>2.1264338327834864E-2</v>
      </c>
      <c r="AV65">
        <f t="shared" si="40"/>
        <v>0</v>
      </c>
      <c r="AW65" s="146"/>
      <c r="AX65" t="str">
        <f t="shared" si="13"/>
        <v/>
      </c>
      <c r="AY65" t="str">
        <f t="shared" si="14"/>
        <v/>
      </c>
      <c r="AZ65" t="str">
        <f t="shared" si="15"/>
        <v/>
      </c>
      <c r="BA65" t="str">
        <f t="shared" si="16"/>
        <v/>
      </c>
      <c r="BB65" t="str">
        <f t="shared" si="17"/>
        <v/>
      </c>
      <c r="BC65" t="str">
        <f t="shared" si="18"/>
        <v/>
      </c>
      <c r="BD65" t="str">
        <f t="shared" si="41"/>
        <v/>
      </c>
      <c r="BE65" s="146"/>
      <c r="BF65" t="str">
        <f t="shared" si="19"/>
        <v/>
      </c>
      <c r="BG65" t="str">
        <f t="shared" si="20"/>
        <v/>
      </c>
      <c r="BH65" t="str">
        <f t="shared" si="21"/>
        <v/>
      </c>
      <c r="BI65" t="str">
        <f t="shared" si="22"/>
        <v/>
      </c>
      <c r="BJ65" t="str">
        <f t="shared" si="23"/>
        <v/>
      </c>
      <c r="BK65" t="str">
        <f t="shared" si="24"/>
        <v/>
      </c>
      <c r="BL65" t="str">
        <f t="shared" si="42"/>
        <v/>
      </c>
      <c r="BM65" s="146"/>
      <c r="BN65" t="str">
        <f t="shared" si="43"/>
        <v/>
      </c>
      <c r="BO65" t="str">
        <f t="shared" si="44"/>
        <v/>
      </c>
      <c r="BP65" t="str">
        <f t="shared" si="25"/>
        <v/>
      </c>
      <c r="BQ65" t="str">
        <f t="shared" si="26"/>
        <v/>
      </c>
      <c r="BR65" t="str">
        <f t="shared" si="27"/>
        <v/>
      </c>
      <c r="BS65" t="str">
        <f t="shared" si="28"/>
        <v/>
      </c>
      <c r="BT65" t="str">
        <f t="shared" si="29"/>
        <v/>
      </c>
      <c r="BU65" t="str">
        <f t="shared" si="45"/>
        <v/>
      </c>
      <c r="BV65" t="str">
        <f t="shared" si="46"/>
        <v/>
      </c>
      <c r="BW65">
        <f>'主翼(桁)'!BG62</f>
        <v>0.16799030159849018</v>
      </c>
      <c r="BX65">
        <f t="shared" si="47"/>
        <v>7.5220220151557271E-2</v>
      </c>
      <c r="BY65">
        <f t="shared" si="48"/>
        <v>0.24321052175004745</v>
      </c>
      <c r="CA65">
        <f t="shared" si="49"/>
        <v>6.6608805182259161</v>
      </c>
      <c r="CB65">
        <f t="shared" si="50"/>
        <v>3.2306182455363708E-2</v>
      </c>
      <c r="CC65">
        <f t="shared" si="51"/>
        <v>6.6285743357705522</v>
      </c>
      <c r="CE65" s="49">
        <f>BY65*パラメーター!$D$5</f>
        <v>2.3827334815852153</v>
      </c>
    </row>
    <row r="66" spans="4:83">
      <c r="D66">
        <f>'主翼(型紙出力)'!B69</f>
        <v>18</v>
      </c>
      <c r="E66">
        <f>'主翼(型紙出力)'!AP69</f>
        <v>2.7245413730300627</v>
      </c>
      <c r="F66">
        <f>'主翼(型紙出力)'!AQ69</f>
        <v>4.5445140316809129E-2</v>
      </c>
      <c r="G66">
        <f>'主翼(型紙出力)'!E69</f>
        <v>0.15</v>
      </c>
      <c r="H66">
        <f>'主翼(型紙出力)'!D69/1000</f>
        <v>1.0646990291262137</v>
      </c>
      <c r="I66" t="str">
        <f>'主翼(型紙出力)'!H69</f>
        <v>full</v>
      </c>
      <c r="J66" t="str">
        <f>'主翼(型紙出力)'!G69</f>
        <v>1番</v>
      </c>
      <c r="K66">
        <f>'主翼(型紙出力)'!L69</f>
        <v>154.25293688749645</v>
      </c>
      <c r="L66">
        <f>'主翼(型紙出力)'!I69</f>
        <v>125.13132258064518</v>
      </c>
      <c r="M66">
        <f>'主翼(型紙出力)'!M69</f>
        <v>29.121614306851271</v>
      </c>
      <c r="N66" t="str">
        <f>主翼翼型1!$C$3</f>
        <v>QX0026 root.dat</v>
      </c>
      <c r="O66" cm="1">
        <f t="array" ref="O66">_xlfn.LET(
  _xlpm.y,$E66,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0.82542082600774258</v>
      </c>
      <c r="P66" t="str">
        <f>主翼翼型2!$C$3</f>
        <v>QX0226.dat</v>
      </c>
      <c r="Q66" cm="1">
        <f t="array" ref="Q66">_xlfn.LET(
  _xlpm.y,$E66,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0.17457917399225742</v>
      </c>
      <c r="R66" t="str">
        <f>主翼翼型3!$C$3</f>
        <v>QX0126.dat</v>
      </c>
      <c r="S66" cm="1">
        <f t="array" ref="S66">_xlfn.LET(
  _xlpm.y,$E66,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6" t="str">
        <f>主翼翼型4!$C$3</f>
        <v>QX0026 v32.dat</v>
      </c>
      <c r="U66" cm="1">
        <f t="array" ref="U66">_xlfn.LET(
  _xlpm.y,$E66,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6" t="str">
        <f>主翼翼型5!$C$3</f>
        <v>QX0026 v32.dat</v>
      </c>
      <c r="W66" cm="1">
        <f t="array" ref="W66">_xlfn.LET(
  _xlpm.y,$E66,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6" s="233">
        <f t="shared" si="30"/>
        <v>0.11109803440172145</v>
      </c>
      <c r="Y66" s="233">
        <f t="shared" si="0"/>
        <v>1.6112714232914679E-3</v>
      </c>
      <c r="Z66" s="233">
        <f t="shared" si="31"/>
        <v>8.3999999999999995E-5</v>
      </c>
      <c r="AA66" s="233">
        <f t="shared" si="1"/>
        <v>5.0457858791836589E-4</v>
      </c>
      <c r="AB66" s="233">
        <f t="shared" si="32"/>
        <v>2.0000000000000002E-5</v>
      </c>
      <c r="AC66" s="233">
        <f t="shared" si="33"/>
        <v>7.7768624081205019E-4</v>
      </c>
      <c r="AD66">
        <f t="shared" si="2"/>
        <v>2.4169071349372019E-4</v>
      </c>
      <c r="AE66">
        <f t="shared" si="3"/>
        <v>1.26E-5</v>
      </c>
      <c r="AF66">
        <f t="shared" si="34"/>
        <v>3.5320501154285614E-6</v>
      </c>
      <c r="AG66">
        <f t="shared" si="35"/>
        <v>3.0000000000000001E-6</v>
      </c>
      <c r="AH66" t="str">
        <f t="shared" si="36"/>
        <v/>
      </c>
      <c r="AI66" t="str">
        <f t="shared" si="4"/>
        <v/>
      </c>
      <c r="AJ66" t="str">
        <f t="shared" si="37"/>
        <v/>
      </c>
      <c r="AK66" t="str">
        <f t="shared" si="38"/>
        <v/>
      </c>
      <c r="AL66" t="str">
        <f t="shared" si="5"/>
        <v/>
      </c>
      <c r="AM66" t="str">
        <f t="shared" si="39"/>
        <v/>
      </c>
      <c r="AN66" t="str">
        <f t="shared" si="6"/>
        <v/>
      </c>
      <c r="AO66" s="146"/>
      <c r="AP66">
        <f t="shared" si="7"/>
        <v>2.0997528501925353E-2</v>
      </c>
      <c r="AQ66">
        <f t="shared" si="8"/>
        <v>2.0543710646966216E-2</v>
      </c>
      <c r="AR66">
        <f t="shared" si="9"/>
        <v>1.8013455588685664E-3</v>
      </c>
      <c r="AS66">
        <f t="shared" si="10"/>
        <v>5.2980751731428423E-3</v>
      </c>
      <c r="AT66">
        <f t="shared" si="11"/>
        <v>4.5000000000000005E-3</v>
      </c>
      <c r="AU66">
        <f t="shared" si="12"/>
        <v>2.0987122888113868E-2</v>
      </c>
      <c r="AV66">
        <f t="shared" si="40"/>
        <v>0</v>
      </c>
      <c r="AW66" s="146"/>
      <c r="AX66" t="str">
        <f t="shared" si="13"/>
        <v/>
      </c>
      <c r="AY66" t="str">
        <f t="shared" si="14"/>
        <v/>
      </c>
      <c r="AZ66" t="str">
        <f t="shared" si="15"/>
        <v/>
      </c>
      <c r="BA66" t="str">
        <f t="shared" si="16"/>
        <v/>
      </c>
      <c r="BB66" t="str">
        <f t="shared" si="17"/>
        <v/>
      </c>
      <c r="BC66" t="str">
        <f t="shared" si="18"/>
        <v/>
      </c>
      <c r="BD66" t="str">
        <f t="shared" si="41"/>
        <v/>
      </c>
      <c r="BE66" s="146"/>
      <c r="BF66" t="str">
        <f t="shared" si="19"/>
        <v/>
      </c>
      <c r="BG66" t="str">
        <f t="shared" si="20"/>
        <v/>
      </c>
      <c r="BH66" t="str">
        <f t="shared" si="21"/>
        <v/>
      </c>
      <c r="BI66" t="str">
        <f t="shared" si="22"/>
        <v/>
      </c>
      <c r="BJ66" t="str">
        <f t="shared" si="23"/>
        <v/>
      </c>
      <c r="BK66" t="str">
        <f t="shared" si="24"/>
        <v/>
      </c>
      <c r="BL66" t="str">
        <f t="shared" si="42"/>
        <v/>
      </c>
      <c r="BM66" s="146"/>
      <c r="BN66" t="str">
        <f t="shared" si="43"/>
        <v/>
      </c>
      <c r="BO66" t="str">
        <f t="shared" si="44"/>
        <v/>
      </c>
      <c r="BP66" t="str">
        <f t="shared" si="25"/>
        <v/>
      </c>
      <c r="BQ66" t="str">
        <f t="shared" si="26"/>
        <v/>
      </c>
      <c r="BR66" t="str">
        <f t="shared" si="27"/>
        <v/>
      </c>
      <c r="BS66" t="str">
        <f t="shared" si="28"/>
        <v/>
      </c>
      <c r="BT66" t="str">
        <f t="shared" si="29"/>
        <v/>
      </c>
      <c r="BU66" t="str">
        <f t="shared" si="45"/>
        <v/>
      </c>
      <c r="BV66" t="str">
        <f t="shared" si="46"/>
        <v/>
      </c>
      <c r="BW66">
        <f>'主翼(桁)'!BG63</f>
        <v>0.16580936653319325</v>
      </c>
      <c r="BX66">
        <f t="shared" si="47"/>
        <v>7.4127782769016853E-2</v>
      </c>
      <c r="BY66">
        <f t="shared" si="48"/>
        <v>0.23993714930221011</v>
      </c>
      <c r="CA66">
        <f t="shared" si="49"/>
        <v>7.4539198224780447</v>
      </c>
      <c r="CB66">
        <f t="shared" si="50"/>
        <v>3.0794129125504818E-2</v>
      </c>
      <c r="CC66">
        <f t="shared" si="51"/>
        <v>7.4231256933525396</v>
      </c>
      <c r="CE66" s="49">
        <f>BY66*パラメーター!$D$5</f>
        <v>2.3506642517137526</v>
      </c>
    </row>
    <row r="67" spans="4:83">
      <c r="D67">
        <f>'主翼(型紙出力)'!B70</f>
        <v>19</v>
      </c>
      <c r="E67">
        <f>'主翼(型紙出力)'!AP70</f>
        <v>2.8744741197653538</v>
      </c>
      <c r="F67">
        <f>'主翼(型紙出力)'!AQ70</f>
        <v>4.993640477251126E-2</v>
      </c>
      <c r="G67">
        <f>'主翼(型紙出力)'!E70</f>
        <v>0.15</v>
      </c>
      <c r="H67">
        <f>'主翼(型紙出力)'!D70/1000</f>
        <v>1.0529320388349517</v>
      </c>
      <c r="I67" t="str">
        <f>'主翼(型紙出力)'!H70</f>
        <v>full</v>
      </c>
      <c r="J67" t="str">
        <f>'主翼(型紙出力)'!G70</f>
        <v>1番</v>
      </c>
      <c r="K67">
        <f>'主翼(型紙出力)'!L70</f>
        <v>152.17824947393092</v>
      </c>
      <c r="L67">
        <f>'主翼(型紙出力)'!I70</f>
        <v>123.52506451612905</v>
      </c>
      <c r="M67">
        <f>'主翼(型紙出力)'!M70</f>
        <v>28.653184957801869</v>
      </c>
      <c r="N67" t="str">
        <f>主翼翼型1!$C$3</f>
        <v>QX0026 root.dat</v>
      </c>
      <c r="O67" cm="1">
        <f t="array" ref="O67">_xlfn.LET(
  _xlpm.y,$E67,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0.76719451659597904</v>
      </c>
      <c r="P67" t="str">
        <f>主翼翼型2!$C$3</f>
        <v>QX0226.dat</v>
      </c>
      <c r="Q67" cm="1">
        <f t="array" ref="Q67">_xlfn.LET(
  _xlpm.y,$E67,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0.23280548340402096</v>
      </c>
      <c r="R67" t="str">
        <f>主翼翼型3!$C$3</f>
        <v>QX0126.dat</v>
      </c>
      <c r="S67" cm="1">
        <f t="array" ref="S67">_xlfn.LET(
  _xlpm.y,$E67,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7" t="str">
        <f>主翼翼型4!$C$3</f>
        <v>QX0026 v32.dat</v>
      </c>
      <c r="U67" cm="1">
        <f t="array" ref="U67">_xlfn.LET(
  _xlpm.y,$E67,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7" t="str">
        <f>主翼翼型5!$C$3</f>
        <v>QX0026 v32.dat</v>
      </c>
      <c r="W67" cm="1">
        <f t="array" ref="W67">_xlfn.LET(
  _xlpm.y,$E67,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7" s="233">
        <f t="shared" si="30"/>
        <v>0.10843178165329587</v>
      </c>
      <c r="Y67" s="233">
        <f t="shared" si="0"/>
        <v>1.59362045228246E-3</v>
      </c>
      <c r="Z67" s="233">
        <f t="shared" si="31"/>
        <v>8.3999999999999995E-5</v>
      </c>
      <c r="AA67" s="233">
        <f t="shared" si="1"/>
        <v>4.9894734576584501E-4</v>
      </c>
      <c r="AB67" s="233">
        <f t="shared" si="32"/>
        <v>2.0000000000000002E-5</v>
      </c>
      <c r="AC67" s="233">
        <f t="shared" si="33"/>
        <v>7.590224715730711E-4</v>
      </c>
      <c r="AD67">
        <f t="shared" si="2"/>
        <v>2.3904306784236899E-4</v>
      </c>
      <c r="AE67">
        <f t="shared" si="3"/>
        <v>1.26E-5</v>
      </c>
      <c r="AF67">
        <f t="shared" si="34"/>
        <v>3.4926314203609151E-6</v>
      </c>
      <c r="AG67">
        <f t="shared" si="35"/>
        <v>3.0000000000000001E-6</v>
      </c>
      <c r="AH67" t="str">
        <f t="shared" si="36"/>
        <v/>
      </c>
      <c r="AI67" t="str">
        <f t="shared" si="4"/>
        <v/>
      </c>
      <c r="AJ67" t="str">
        <f t="shared" si="37"/>
        <v/>
      </c>
      <c r="AK67" t="str">
        <f t="shared" si="38"/>
        <v/>
      </c>
      <c r="AL67" t="str">
        <f t="shared" si="5"/>
        <v/>
      </c>
      <c r="AM67" t="str">
        <f t="shared" si="39"/>
        <v/>
      </c>
      <c r="AN67" t="str">
        <f t="shared" si="6"/>
        <v/>
      </c>
      <c r="AO67" s="146"/>
      <c r="AP67">
        <f t="shared" si="7"/>
        <v>2.049360673247292E-2</v>
      </c>
      <c r="AQ67">
        <f t="shared" si="8"/>
        <v>2.0318660766601365E-2</v>
      </c>
      <c r="AR67">
        <f t="shared" si="9"/>
        <v>1.7812420243840668E-3</v>
      </c>
      <c r="AS67">
        <f t="shared" si="10"/>
        <v>5.2389471305413727E-3</v>
      </c>
      <c r="AT67">
        <f t="shared" si="11"/>
        <v>4.5000000000000005E-3</v>
      </c>
      <c r="AU67">
        <f t="shared" si="12"/>
        <v>2.0711984379300597E-2</v>
      </c>
      <c r="AV67">
        <f t="shared" si="40"/>
        <v>0</v>
      </c>
      <c r="AW67" s="146"/>
      <c r="AX67" t="str">
        <f t="shared" si="13"/>
        <v/>
      </c>
      <c r="AY67" t="str">
        <f t="shared" si="14"/>
        <v/>
      </c>
      <c r="AZ67" t="str">
        <f t="shared" si="15"/>
        <v/>
      </c>
      <c r="BA67" t="str">
        <f t="shared" si="16"/>
        <v/>
      </c>
      <c r="BB67" t="str">
        <f t="shared" si="17"/>
        <v/>
      </c>
      <c r="BC67" t="str">
        <f t="shared" si="18"/>
        <v/>
      </c>
      <c r="BD67" t="str">
        <f t="shared" si="41"/>
        <v/>
      </c>
      <c r="BE67" s="146"/>
      <c r="BF67" t="str">
        <f t="shared" si="19"/>
        <v/>
      </c>
      <c r="BG67" t="str">
        <f t="shared" si="20"/>
        <v/>
      </c>
      <c r="BH67" t="str">
        <f t="shared" si="21"/>
        <v/>
      </c>
      <c r="BI67" t="str">
        <f t="shared" si="22"/>
        <v/>
      </c>
      <c r="BJ67" t="str">
        <f t="shared" si="23"/>
        <v/>
      </c>
      <c r="BK67" t="str">
        <f t="shared" si="24"/>
        <v/>
      </c>
      <c r="BL67" t="str">
        <f t="shared" si="42"/>
        <v/>
      </c>
      <c r="BM67" s="146"/>
      <c r="BN67" t="str">
        <f t="shared" si="43"/>
        <v/>
      </c>
      <c r="BO67" t="str">
        <f t="shared" si="44"/>
        <v/>
      </c>
      <c r="BP67" t="str">
        <f t="shared" si="25"/>
        <v/>
      </c>
      <c r="BQ67" t="str">
        <f t="shared" si="26"/>
        <v/>
      </c>
      <c r="BR67" t="str">
        <f t="shared" si="27"/>
        <v/>
      </c>
      <c r="BS67" t="str">
        <f t="shared" si="28"/>
        <v/>
      </c>
      <c r="BT67" t="str">
        <f t="shared" si="29"/>
        <v/>
      </c>
      <c r="BU67" t="str">
        <f t="shared" si="45"/>
        <v/>
      </c>
      <c r="BV67" t="str">
        <f t="shared" si="46"/>
        <v/>
      </c>
      <c r="BW67">
        <f>'主翼(桁)'!BG64</f>
        <v>0.16362843146789599</v>
      </c>
      <c r="BX67">
        <f t="shared" si="47"/>
        <v>7.3044441033300309E-2</v>
      </c>
      <c r="BY67">
        <f t="shared" si="48"/>
        <v>0.23667287250119629</v>
      </c>
      <c r="CA67">
        <f t="shared" si="49"/>
        <v>8.2918394886073852</v>
      </c>
      <c r="CB67">
        <f t="shared" si="50"/>
        <v>2.9238023406579668E-2</v>
      </c>
      <c r="CC67">
        <f t="shared" si="51"/>
        <v>8.262601465200806</v>
      </c>
      <c r="CE67" s="49">
        <f>BY67*パラメーター!$D$5</f>
        <v>2.3186841318942202</v>
      </c>
    </row>
    <row r="68" spans="4:83">
      <c r="D68">
        <f>'主翼(型紙出力)'!B71</f>
        <v>20</v>
      </c>
      <c r="E68">
        <f>'主翼(型紙出力)'!AP71</f>
        <v>3.0243996368977633</v>
      </c>
      <c r="F68">
        <f>'主翼(型紙出力)'!AQ71</f>
        <v>5.4662852971700031E-2</v>
      </c>
      <c r="G68">
        <f>'主翼(型紙出力)'!E71</f>
        <v>0.15</v>
      </c>
      <c r="H68">
        <f>'主翼(型紙出力)'!D71/1000</f>
        <v>1.0411650485436894</v>
      </c>
      <c r="I68" t="str">
        <f>'主翼(型紙出力)'!H71</f>
        <v>full</v>
      </c>
      <c r="J68" t="str">
        <f>'主翼(型紙出力)'!G71</f>
        <v>1番</v>
      </c>
      <c r="K68">
        <f>'主翼(型紙出力)'!L71</f>
        <v>150.11182950554786</v>
      </c>
      <c r="L68">
        <f>'主翼(型紙出力)'!I71</f>
        <v>121.91880645161292</v>
      </c>
      <c r="M68">
        <f>'主翼(型紙出力)'!M71</f>
        <v>28.193023053934937</v>
      </c>
      <c r="N68" t="str">
        <f>主翼翼型1!$C$3</f>
        <v>QX0026 root.dat</v>
      </c>
      <c r="O68" cm="1">
        <f t="array" ref="O68">_xlfn.LET(
  _xlpm.y,$E68,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0.7089710147969851</v>
      </c>
      <c r="P68" t="str">
        <f>主翼翼型2!$C$3</f>
        <v>QX0226.dat</v>
      </c>
      <c r="Q68" cm="1">
        <f t="array" ref="Q68">_xlfn.LET(
  _xlpm.y,$E68,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0.2910289852030149</v>
      </c>
      <c r="R68" t="str">
        <f>主翼翼型3!$C$3</f>
        <v>QX0126.dat</v>
      </c>
      <c r="S68" cm="1">
        <f t="array" ref="S68">_xlfn.LET(
  _xlpm.y,$E68,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8" t="str">
        <f>主翼翼型4!$C$3</f>
        <v>QX0026 v32.dat</v>
      </c>
      <c r="U68" cm="1">
        <f t="array" ref="U68">_xlfn.LET(
  _xlpm.y,$E68,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8" t="str">
        <f>主翼翼型5!$C$3</f>
        <v>QX0026 v32.dat</v>
      </c>
      <c r="W68" cm="1">
        <f t="array" ref="W68">_xlfn.LET(
  _xlpm.y,$E68,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8" s="233">
        <f t="shared" si="30"/>
        <v>0.10580264251231832</v>
      </c>
      <c r="Y68" s="233">
        <f t="shared" si="0"/>
        <v>1.5759659713071132E-3</v>
      </c>
      <c r="Z68" s="233">
        <f t="shared" si="31"/>
        <v>8.3999999999999995E-5</v>
      </c>
      <c r="AA68" s="233">
        <f t="shared" si="1"/>
        <v>4.9331732813562106E-4</v>
      </c>
      <c r="AB68" s="233">
        <f t="shared" si="32"/>
        <v>2.0000000000000002E-5</v>
      </c>
      <c r="AC68" s="233">
        <f t="shared" si="33"/>
        <v>7.4061849758622826E-4</v>
      </c>
      <c r="AD68">
        <f t="shared" si="2"/>
        <v>2.3639489569606697E-4</v>
      </c>
      <c r="AE68">
        <f t="shared" si="3"/>
        <v>1.26E-5</v>
      </c>
      <c r="AF68">
        <f t="shared" si="34"/>
        <v>3.4532212969493473E-6</v>
      </c>
      <c r="AG68">
        <f t="shared" si="35"/>
        <v>3.0000000000000001E-6</v>
      </c>
      <c r="AH68" t="str">
        <f t="shared" si="36"/>
        <v/>
      </c>
      <c r="AI68" t="str">
        <f t="shared" si="4"/>
        <v/>
      </c>
      <c r="AJ68" t="str">
        <f t="shared" si="37"/>
        <v/>
      </c>
      <c r="AK68" t="str">
        <f t="shared" si="38"/>
        <v/>
      </c>
      <c r="AL68" t="str">
        <f t="shared" si="5"/>
        <v/>
      </c>
      <c r="AM68" t="str">
        <f t="shared" si="39"/>
        <v/>
      </c>
      <c r="AN68" t="str">
        <f t="shared" si="6"/>
        <v/>
      </c>
      <c r="AO68" s="146"/>
      <c r="AP68">
        <f t="shared" si="7"/>
        <v>1.9996699434828163E-2</v>
      </c>
      <c r="AQ68">
        <f t="shared" si="8"/>
        <v>2.0093566134165693E-2</v>
      </c>
      <c r="AR68">
        <f t="shared" si="9"/>
        <v>1.7611428614441671E-3</v>
      </c>
      <c r="AS68">
        <f t="shared" si="10"/>
        <v>5.1798319454240214E-3</v>
      </c>
      <c r="AT68">
        <f t="shared" si="11"/>
        <v>4.5000000000000005E-3</v>
      </c>
      <c r="AU68">
        <f t="shared" si="12"/>
        <v>2.0438922801395042E-2</v>
      </c>
      <c r="AV68">
        <f t="shared" si="40"/>
        <v>0</v>
      </c>
      <c r="AW68" s="146"/>
      <c r="AX68" t="str">
        <f t="shared" si="13"/>
        <v/>
      </c>
      <c r="AY68" t="str">
        <f t="shared" si="14"/>
        <v/>
      </c>
      <c r="AZ68" t="str">
        <f t="shared" si="15"/>
        <v/>
      </c>
      <c r="BA68" t="str">
        <f t="shared" si="16"/>
        <v/>
      </c>
      <c r="BB68" t="str">
        <f t="shared" si="17"/>
        <v/>
      </c>
      <c r="BC68" t="str">
        <f t="shared" si="18"/>
        <v/>
      </c>
      <c r="BD68" t="str">
        <f t="shared" si="41"/>
        <v/>
      </c>
      <c r="BE68" s="146"/>
      <c r="BF68" t="str">
        <f t="shared" si="19"/>
        <v/>
      </c>
      <c r="BG68" t="str">
        <f t="shared" si="20"/>
        <v/>
      </c>
      <c r="BH68" t="str">
        <f t="shared" si="21"/>
        <v/>
      </c>
      <c r="BI68" t="str">
        <f t="shared" si="22"/>
        <v/>
      </c>
      <c r="BJ68" t="str">
        <f t="shared" si="23"/>
        <v/>
      </c>
      <c r="BK68" t="str">
        <f t="shared" si="24"/>
        <v/>
      </c>
      <c r="BL68" t="str">
        <f t="shared" si="42"/>
        <v/>
      </c>
      <c r="BM68" s="146"/>
      <c r="BN68" t="str">
        <f t="shared" si="43"/>
        <v/>
      </c>
      <c r="BO68" t="str">
        <f t="shared" si="44"/>
        <v/>
      </c>
      <c r="BP68" t="str">
        <f t="shared" si="25"/>
        <v/>
      </c>
      <c r="BQ68" t="str">
        <f t="shared" si="26"/>
        <v/>
      </c>
      <c r="BR68" t="str">
        <f t="shared" si="27"/>
        <v/>
      </c>
      <c r="BS68" t="str">
        <f t="shared" si="28"/>
        <v/>
      </c>
      <c r="BT68" t="str">
        <f t="shared" si="29"/>
        <v/>
      </c>
      <c r="BU68" t="str">
        <f t="shared" si="45"/>
        <v/>
      </c>
      <c r="BV68" t="str">
        <f t="shared" si="46"/>
        <v/>
      </c>
      <c r="BW68">
        <f>'主翼(桁)'!BG65</f>
        <v>0.16144749640259862</v>
      </c>
      <c r="BX68">
        <f t="shared" si="47"/>
        <v>7.1970163177257088E-2</v>
      </c>
      <c r="BY68">
        <f t="shared" si="48"/>
        <v>0.23341765957985572</v>
      </c>
      <c r="CA68">
        <f t="shared" si="49"/>
        <v>9.1746371633776373</v>
      </c>
      <c r="CB68">
        <f t="shared" si="50"/>
        <v>2.7643999710315444E-2</v>
      </c>
      <c r="CC68">
        <f t="shared" si="51"/>
        <v>9.1469931636673216</v>
      </c>
      <c r="CE68" s="49">
        <f>BY68*パラメーター!$D$5</f>
        <v>2.2867928109038465</v>
      </c>
    </row>
    <row r="69" spans="4:83">
      <c r="D69">
        <f>'主翼(型紙出力)'!B72</f>
        <v>21</v>
      </c>
      <c r="E69">
        <f>'主翼(型紙出力)'!AP72</f>
        <v>3.1743175363205425</v>
      </c>
      <c r="F69">
        <f>'主翼(型紙出力)'!AQ72</f>
        <v>5.9625053356750293E-2</v>
      </c>
      <c r="G69">
        <f>'主翼(型紙出力)'!E72</f>
        <v>0.15</v>
      </c>
      <c r="H69">
        <f>'主翼(型紙出力)'!D72/1000</f>
        <v>1.0293980582524274</v>
      </c>
      <c r="I69" t="str">
        <f>'主翼(型紙出力)'!H72</f>
        <v>full</v>
      </c>
      <c r="J69" t="str">
        <f>'主翼(型紙出力)'!G72</f>
        <v>1番</v>
      </c>
      <c r="K69">
        <f>'主翼(型紙出力)'!L72</f>
        <v>148.05367698234716</v>
      </c>
      <c r="L69">
        <f>'主翼(型紙出力)'!I72</f>
        <v>120.3125483870968</v>
      </c>
      <c r="M69">
        <f>'主翼(型紙出力)'!M72</f>
        <v>27.741128595250359</v>
      </c>
      <c r="N69" t="str">
        <f>主翼翼型1!$C$3</f>
        <v>QX0026 root.dat</v>
      </c>
      <c r="O69" cm="1">
        <f t="array" ref="O69">_xlfn.LET(
  _xlpm.y,$E69,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0.65075047133182817</v>
      </c>
      <c r="P69" t="str">
        <f>主翼翼型2!$C$3</f>
        <v>QX0226.dat</v>
      </c>
      <c r="Q69" cm="1">
        <f t="array" ref="Q69">_xlfn.LET(
  _xlpm.y,$E69,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0.34924952866817188</v>
      </c>
      <c r="R69" t="str">
        <f>主翼翼型3!$C$3</f>
        <v>QX0126.dat</v>
      </c>
      <c r="S69" cm="1">
        <f t="array" ref="S69">_xlfn.LET(
  _xlpm.y,$E69,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9" t="str">
        <f>主翼翼型4!$C$3</f>
        <v>QX0026 v32.dat</v>
      </c>
      <c r="U69" cm="1">
        <f t="array" ref="U69">_xlfn.LET(
  _xlpm.y,$E69,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9" t="str">
        <f>主翼翼型5!$C$3</f>
        <v>QX0026 v32.dat</v>
      </c>
      <c r="W69" cm="1">
        <f t="array" ref="W69">_xlfn.LET(
  _xlpm.y,$E69,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9" s="233">
        <f t="shared" si="30"/>
        <v>0.10321044887393067</v>
      </c>
      <c r="Y69" s="233">
        <f t="shared" si="0"/>
        <v>1.5583079802221882E-3</v>
      </c>
      <c r="Z69" s="233">
        <f t="shared" si="31"/>
        <v>8.3999999999999995E-5</v>
      </c>
      <c r="AA69" s="233">
        <f t="shared" si="1"/>
        <v>4.8768853507766643E-4</v>
      </c>
      <c r="AB69" s="233">
        <f t="shared" si="32"/>
        <v>2.0000000000000002E-5</v>
      </c>
      <c r="AC69" s="233">
        <f t="shared" si="33"/>
        <v>7.2247314211751476E-4</v>
      </c>
      <c r="AD69">
        <f t="shared" si="2"/>
        <v>2.3374619703332822E-4</v>
      </c>
      <c r="AE69">
        <f t="shared" si="3"/>
        <v>1.26E-5</v>
      </c>
      <c r="AF69">
        <f t="shared" si="34"/>
        <v>3.4138197455436649E-6</v>
      </c>
      <c r="AG69">
        <f t="shared" si="35"/>
        <v>3.0000000000000001E-6</v>
      </c>
      <c r="AH69" t="str">
        <f t="shared" si="36"/>
        <v/>
      </c>
      <c r="AI69" t="str">
        <f t="shared" si="4"/>
        <v/>
      </c>
      <c r="AJ69" t="str">
        <f t="shared" si="37"/>
        <v/>
      </c>
      <c r="AK69" t="str">
        <f t="shared" si="38"/>
        <v/>
      </c>
      <c r="AL69" t="str">
        <f t="shared" si="5"/>
        <v/>
      </c>
      <c r="AM69" t="str">
        <f t="shared" si="39"/>
        <v/>
      </c>
      <c r="AN69" t="str">
        <f t="shared" si="6"/>
        <v/>
      </c>
      <c r="AO69" s="146"/>
      <c r="AP69">
        <f t="shared" si="7"/>
        <v>1.9506774837172898E-2</v>
      </c>
      <c r="AQ69">
        <f t="shared" si="8"/>
        <v>1.9868426747832898E-2</v>
      </c>
      <c r="AR69">
        <f t="shared" si="9"/>
        <v>1.7410480702272691E-3</v>
      </c>
      <c r="AS69">
        <f t="shared" si="10"/>
        <v>5.120729618315497E-3</v>
      </c>
      <c r="AT69">
        <f t="shared" si="11"/>
        <v>4.5000000000000005E-3</v>
      </c>
      <c r="AU69">
        <f t="shared" si="12"/>
        <v>2.0167938154397214E-2</v>
      </c>
      <c r="AV69">
        <f t="shared" si="40"/>
        <v>0</v>
      </c>
      <c r="AW69" s="146"/>
      <c r="AX69" t="str">
        <f t="shared" si="13"/>
        <v/>
      </c>
      <c r="AY69" t="str">
        <f t="shared" si="14"/>
        <v/>
      </c>
      <c r="AZ69" t="str">
        <f t="shared" si="15"/>
        <v/>
      </c>
      <c r="BA69" t="str">
        <f t="shared" si="16"/>
        <v/>
      </c>
      <c r="BB69" t="str">
        <f t="shared" si="17"/>
        <v/>
      </c>
      <c r="BC69" t="str">
        <f t="shared" si="18"/>
        <v/>
      </c>
      <c r="BD69" t="str">
        <f t="shared" si="41"/>
        <v/>
      </c>
      <c r="BE69" s="146"/>
      <c r="BF69" t="str">
        <f t="shared" si="19"/>
        <v/>
      </c>
      <c r="BG69" t="str">
        <f t="shared" si="20"/>
        <v/>
      </c>
      <c r="BH69" t="str">
        <f t="shared" si="21"/>
        <v/>
      </c>
      <c r="BI69" t="str">
        <f t="shared" si="22"/>
        <v/>
      </c>
      <c r="BJ69" t="str">
        <f t="shared" si="23"/>
        <v/>
      </c>
      <c r="BK69" t="str">
        <f t="shared" si="24"/>
        <v/>
      </c>
      <c r="BL69" t="str">
        <f t="shared" si="42"/>
        <v/>
      </c>
      <c r="BM69" s="146"/>
      <c r="BN69" t="str">
        <f t="shared" si="43"/>
        <v/>
      </c>
      <c r="BO69" t="str">
        <f t="shared" si="44"/>
        <v/>
      </c>
      <c r="BP69" t="str">
        <f t="shared" si="25"/>
        <v/>
      </c>
      <c r="BQ69" t="str">
        <f t="shared" si="26"/>
        <v/>
      </c>
      <c r="BR69" t="str">
        <f t="shared" si="27"/>
        <v/>
      </c>
      <c r="BS69" t="str">
        <f t="shared" si="28"/>
        <v/>
      </c>
      <c r="BT69" t="str">
        <f t="shared" si="29"/>
        <v/>
      </c>
      <c r="BU69" t="str">
        <f t="shared" si="45"/>
        <v/>
      </c>
      <c r="BV69" t="str">
        <f t="shared" si="46"/>
        <v/>
      </c>
      <c r="BW69">
        <f>'主翼(桁)'!BG66</f>
        <v>0.15926656133730135</v>
      </c>
      <c r="BX69">
        <f t="shared" si="47"/>
        <v>7.0904917427945774E-2</v>
      </c>
      <c r="BY69">
        <f t="shared" si="48"/>
        <v>0.23017147876524713</v>
      </c>
      <c r="CA69">
        <f t="shared" si="49"/>
        <v>10.102310365548671</v>
      </c>
      <c r="CB69">
        <f t="shared" si="50"/>
        <v>2.6018544156554042E-2</v>
      </c>
      <c r="CC69">
        <f t="shared" si="51"/>
        <v>10.076291821392118</v>
      </c>
      <c r="CE69" s="49">
        <f>BY69*パラメーター!$D$5</f>
        <v>2.2549899774631261</v>
      </c>
    </row>
    <row r="70" spans="4:83">
      <c r="D70">
        <f>'主翼(型紙出力)'!B73</f>
        <v>22</v>
      </c>
      <c r="E70">
        <f>'主翼(型紙出力)'!AP73</f>
        <v>3.3242274270545491</v>
      </c>
      <c r="F70">
        <f>'主翼(型紙出力)'!AQ73</f>
        <v>6.4823578158863179E-2</v>
      </c>
      <c r="G70">
        <f>'主翼(型紙出力)'!E73</f>
        <v>0.15</v>
      </c>
      <c r="H70">
        <f>'主翼(型紙出力)'!D73/1000</f>
        <v>1.0176310679611653</v>
      </c>
      <c r="I70" t="str">
        <f>'主翼(型紙出力)'!H73</f>
        <v>full</v>
      </c>
      <c r="J70" t="str">
        <f>'主翼(型紙出力)'!G73</f>
        <v>1番</v>
      </c>
      <c r="K70">
        <f>'主翼(型紙出力)'!L73</f>
        <v>146.00379190432881</v>
      </c>
      <c r="L70">
        <f>'主翼(型紙出力)'!I73</f>
        <v>118.70629032258067</v>
      </c>
      <c r="M70">
        <f>'主翼(型紙出力)'!M73</f>
        <v>27.297501581748136</v>
      </c>
      <c r="N70" t="str">
        <f>主翼翼型1!$C$3</f>
        <v>QX0026 root.dat</v>
      </c>
      <c r="O70" cm="1">
        <f t="array" ref="O70">_xlfn.LET(
  _xlpm.y,$E70,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0.59253303803706825</v>
      </c>
      <c r="P70" t="str">
        <f>主翼翼型2!$C$3</f>
        <v>QX0226.dat</v>
      </c>
      <c r="Q70" cm="1">
        <f t="array" ref="Q70">_xlfn.LET(
  _xlpm.y,$E70,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0.40746696196293175</v>
      </c>
      <c r="R70" t="str">
        <f>主翼翼型3!$C$3</f>
        <v>QX0126.dat</v>
      </c>
      <c r="S70" cm="1">
        <f t="array" ref="S70">_xlfn.LET(
  _xlpm.y,$E70,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0" t="str">
        <f>主翼翼型4!$C$3</f>
        <v>QX0026 v32.dat</v>
      </c>
      <c r="U70" cm="1">
        <f t="array" ref="U70">_xlfn.LET(
  _xlpm.y,$E70,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0" t="str">
        <f>主翼翼型5!$C$3</f>
        <v>QX0026 v32.dat</v>
      </c>
      <c r="W70" cm="1">
        <f t="array" ref="W70">_xlfn.LET(
  _xlpm.y,$E70,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0" s="233">
        <f t="shared" si="30"/>
        <v>0.10065503260306294</v>
      </c>
      <c r="Y70" s="233">
        <f t="shared" si="0"/>
        <v>1.5406464788996759E-3</v>
      </c>
      <c r="Z70" s="233">
        <f t="shared" si="31"/>
        <v>8.3999999999999995E-5</v>
      </c>
      <c r="AA70" s="233">
        <f t="shared" si="1"/>
        <v>4.8206096663663958E-4</v>
      </c>
      <c r="AB70" s="233">
        <f t="shared" si="32"/>
        <v>2.0000000000000002E-5</v>
      </c>
      <c r="AC70" s="233">
        <f t="shared" si="33"/>
        <v>7.0458522822144053E-4</v>
      </c>
      <c r="AD70">
        <f t="shared" si="2"/>
        <v>2.3109697183495138E-4</v>
      </c>
      <c r="AE70">
        <f t="shared" si="3"/>
        <v>1.26E-5</v>
      </c>
      <c r="AF70">
        <f t="shared" si="34"/>
        <v>3.3744267664564772E-6</v>
      </c>
      <c r="AG70">
        <f t="shared" si="35"/>
        <v>3.0000000000000001E-6</v>
      </c>
      <c r="AH70" t="str">
        <f t="shared" si="36"/>
        <v/>
      </c>
      <c r="AI70" t="str">
        <f t="shared" si="4"/>
        <v/>
      </c>
      <c r="AJ70" t="str">
        <f t="shared" si="37"/>
        <v/>
      </c>
      <c r="AK70" t="str">
        <f t="shared" si="38"/>
        <v/>
      </c>
      <c r="AL70" t="str">
        <f t="shared" si="5"/>
        <v/>
      </c>
      <c r="AM70" t="str">
        <f t="shared" si="39"/>
        <v/>
      </c>
      <c r="AN70" t="str">
        <f t="shared" si="6"/>
        <v/>
      </c>
      <c r="AO70" s="146"/>
      <c r="AP70">
        <f t="shared" si="7"/>
        <v>1.9023801161978895E-2</v>
      </c>
      <c r="AQ70">
        <f t="shared" si="8"/>
        <v>1.9643242605970865E-2</v>
      </c>
      <c r="AR70">
        <f t="shared" si="9"/>
        <v>1.7209576508928034E-3</v>
      </c>
      <c r="AS70">
        <f t="shared" si="10"/>
        <v>5.0616401496847161E-3</v>
      </c>
      <c r="AT70">
        <f t="shared" si="11"/>
        <v>4.5000000000000005E-3</v>
      </c>
      <c r="AU70">
        <f t="shared" si="12"/>
        <v>1.9899030438307104E-2</v>
      </c>
      <c r="AV70">
        <f t="shared" si="40"/>
        <v>0</v>
      </c>
      <c r="AW70" s="146"/>
      <c r="AX70" t="str">
        <f t="shared" si="13"/>
        <v/>
      </c>
      <c r="AY70" t="str">
        <f t="shared" si="14"/>
        <v/>
      </c>
      <c r="AZ70" t="str">
        <f t="shared" si="15"/>
        <v/>
      </c>
      <c r="BA70" t="str">
        <f t="shared" si="16"/>
        <v/>
      </c>
      <c r="BB70" t="str">
        <f t="shared" si="17"/>
        <v/>
      </c>
      <c r="BC70" t="str">
        <f t="shared" si="18"/>
        <v/>
      </c>
      <c r="BD70" t="str">
        <f t="shared" si="41"/>
        <v/>
      </c>
      <c r="BE70" s="146"/>
      <c r="BF70" t="str">
        <f t="shared" si="19"/>
        <v/>
      </c>
      <c r="BG70" t="str">
        <f t="shared" si="20"/>
        <v/>
      </c>
      <c r="BH70" t="str">
        <f t="shared" si="21"/>
        <v/>
      </c>
      <c r="BI70" t="str">
        <f t="shared" si="22"/>
        <v/>
      </c>
      <c r="BJ70" t="str">
        <f t="shared" si="23"/>
        <v/>
      </c>
      <c r="BK70" t="str">
        <f t="shared" si="24"/>
        <v/>
      </c>
      <c r="BL70" t="str">
        <f t="shared" si="42"/>
        <v/>
      </c>
      <c r="BM70" s="146"/>
      <c r="BN70" t="str">
        <f t="shared" si="43"/>
        <v/>
      </c>
      <c r="BO70" t="str">
        <f t="shared" si="44"/>
        <v/>
      </c>
      <c r="BP70" t="str">
        <f t="shared" si="25"/>
        <v/>
      </c>
      <c r="BQ70" t="str">
        <f t="shared" si="26"/>
        <v/>
      </c>
      <c r="BR70" t="str">
        <f t="shared" si="27"/>
        <v/>
      </c>
      <c r="BS70" t="str">
        <f t="shared" si="28"/>
        <v/>
      </c>
      <c r="BT70" t="str">
        <f t="shared" si="29"/>
        <v/>
      </c>
      <c r="BU70" t="str">
        <f t="shared" si="45"/>
        <v/>
      </c>
      <c r="BV70" t="str">
        <f t="shared" si="46"/>
        <v/>
      </c>
      <c r="BW70">
        <f>'主翼(桁)'!BG67</f>
        <v>0.1570856262720044</v>
      </c>
      <c r="BX70">
        <f t="shared" si="47"/>
        <v>6.9848672006834367E-2</v>
      </c>
      <c r="BY70">
        <f t="shared" si="48"/>
        <v>0.22693429827883876</v>
      </c>
      <c r="CA70">
        <f t="shared" si="49"/>
        <v>11.074856483968901</v>
      </c>
      <c r="CB70">
        <f t="shared" si="50"/>
        <v>2.4368497187193271E-2</v>
      </c>
      <c r="CC70">
        <f t="shared" si="51"/>
        <v>11.050487986781707</v>
      </c>
      <c r="CE70" s="49">
        <f>BY70*パラメーター!$D$5</f>
        <v>2.2232753202377835</v>
      </c>
    </row>
    <row r="71" spans="4:83">
      <c r="D71">
        <f>'主翼(型紙出力)'!B74</f>
        <v>23</v>
      </c>
      <c r="E71">
        <f>'主翼(型紙出力)'!AP74</f>
        <v>3.4741289151882517</v>
      </c>
      <c r="F71">
        <f>'主翼(型紙出力)'!AQ74</f>
        <v>7.0259004112866424E-2</v>
      </c>
      <c r="G71">
        <f>'主翼(型紙出力)'!E74</f>
        <v>0.15</v>
      </c>
      <c r="H71">
        <f>'主翼(型紙出力)'!D74/1000</f>
        <v>1.005864077669903</v>
      </c>
      <c r="I71" t="str">
        <f>'主翼(型紙出力)'!H74</f>
        <v>full</v>
      </c>
      <c r="J71" t="str">
        <f>'主翼(型紙出力)'!G74</f>
        <v>1番</v>
      </c>
      <c r="K71">
        <f>'主翼(型紙出力)'!L74</f>
        <v>143.96217427149284</v>
      </c>
      <c r="L71">
        <f>'主翼(型紙出力)'!I74</f>
        <v>117.10003225806454</v>
      </c>
      <c r="M71">
        <f>'主翼(型紙出力)'!M74</f>
        <v>26.862142013428297</v>
      </c>
      <c r="N71" t="str">
        <f>主翼翼型1!$C$3</f>
        <v>QX0026 root.dat</v>
      </c>
      <c r="O71" cm="1">
        <f t="array" ref="O71">_xlfn.LET(
  _xlpm.y,$E71,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0.53431886788805749</v>
      </c>
      <c r="P71" t="str">
        <f>主翼翼型2!$C$3</f>
        <v>QX0226.dat</v>
      </c>
      <c r="Q71" cm="1">
        <f t="array" ref="Q71">_xlfn.LET(
  _xlpm.y,$E71,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0.46568113211194251</v>
      </c>
      <c r="R71" t="str">
        <f>主翼翼型3!$C$3</f>
        <v>QX0126.dat</v>
      </c>
      <c r="S71" cm="1">
        <f t="array" ref="S71">_xlfn.LET(
  _xlpm.y,$E71,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1" t="str">
        <f>主翼翼型4!$C$3</f>
        <v>QX0026 v32.dat</v>
      </c>
      <c r="U71" cm="1">
        <f t="array" ref="U71">_xlfn.LET(
  _xlpm.y,$E71,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1" t="str">
        <f>主翼翼型5!$C$3</f>
        <v>QX0026 v32.dat</v>
      </c>
      <c r="W71" cm="1">
        <f t="array" ref="W71">_xlfn.LET(
  _xlpm.y,$E71,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1" s="233">
        <f t="shared" si="30"/>
        <v>9.8136225535503149E-2</v>
      </c>
      <c r="Y71" s="233">
        <f t="shared" si="0"/>
        <v>1.5229814672269061E-3</v>
      </c>
      <c r="Z71" s="233">
        <f t="shared" si="31"/>
        <v>8.3999999999999995E-5</v>
      </c>
      <c r="AA71" s="233">
        <f t="shared" si="1"/>
        <v>4.7643462285184765E-4</v>
      </c>
      <c r="AB71" s="233">
        <f t="shared" si="32"/>
        <v>2.0000000000000002E-5</v>
      </c>
      <c r="AC71" s="233">
        <f t="shared" si="33"/>
        <v>6.8695357874852211E-4</v>
      </c>
      <c r="AD71">
        <f t="shared" si="2"/>
        <v>2.2844722008403591E-4</v>
      </c>
      <c r="AE71">
        <f t="shared" si="3"/>
        <v>1.26E-5</v>
      </c>
      <c r="AF71">
        <f t="shared" si="34"/>
        <v>3.3350423599629336E-6</v>
      </c>
      <c r="AG71">
        <f t="shared" si="35"/>
        <v>3.0000000000000001E-6</v>
      </c>
      <c r="AH71" t="str">
        <f t="shared" si="36"/>
        <v/>
      </c>
      <c r="AI71" t="str">
        <f t="shared" si="4"/>
        <v/>
      </c>
      <c r="AJ71" t="str">
        <f t="shared" si="37"/>
        <v/>
      </c>
      <c r="AK71" t="str">
        <f t="shared" si="38"/>
        <v/>
      </c>
      <c r="AL71" t="str">
        <f t="shared" si="5"/>
        <v/>
      </c>
      <c r="AM71" t="str">
        <f t="shared" si="39"/>
        <v/>
      </c>
      <c r="AN71" t="str">
        <f t="shared" si="6"/>
        <v/>
      </c>
      <c r="AO71" s="146"/>
      <c r="AP71">
        <f t="shared" si="7"/>
        <v>1.8547746626210098E-2</v>
      </c>
      <c r="AQ71">
        <f t="shared" si="8"/>
        <v>1.941801370714305E-2</v>
      </c>
      <c r="AR71">
        <f t="shared" si="9"/>
        <v>1.7008716035810962E-3</v>
      </c>
      <c r="AS71">
        <f t="shared" si="10"/>
        <v>5.0025635399444006E-3</v>
      </c>
      <c r="AT71">
        <f t="shared" si="11"/>
        <v>4.5000000000000005E-3</v>
      </c>
      <c r="AU71">
        <f t="shared" si="12"/>
        <v>1.9632199653124707E-2</v>
      </c>
      <c r="AV71">
        <f t="shared" si="40"/>
        <v>0</v>
      </c>
      <c r="AW71" s="146"/>
      <c r="AX71" t="str">
        <f t="shared" si="13"/>
        <v/>
      </c>
      <c r="AY71" t="str">
        <f t="shared" si="14"/>
        <v/>
      </c>
      <c r="AZ71" t="str">
        <f t="shared" si="15"/>
        <v/>
      </c>
      <c r="BA71" t="str">
        <f t="shared" si="16"/>
        <v/>
      </c>
      <c r="BB71" t="str">
        <f t="shared" si="17"/>
        <v/>
      </c>
      <c r="BC71" t="str">
        <f t="shared" si="18"/>
        <v/>
      </c>
      <c r="BD71" t="str">
        <f t="shared" si="41"/>
        <v/>
      </c>
      <c r="BE71" s="146"/>
      <c r="BF71" t="str">
        <f t="shared" si="19"/>
        <v/>
      </c>
      <c r="BG71" t="str">
        <f t="shared" si="20"/>
        <v/>
      </c>
      <c r="BH71" t="str">
        <f t="shared" si="21"/>
        <v/>
      </c>
      <c r="BI71" t="str">
        <f t="shared" si="22"/>
        <v/>
      </c>
      <c r="BJ71" t="str">
        <f t="shared" si="23"/>
        <v/>
      </c>
      <c r="BK71" t="str">
        <f t="shared" si="24"/>
        <v/>
      </c>
      <c r="BL71" t="str">
        <f t="shared" si="42"/>
        <v/>
      </c>
      <c r="BM71" s="146"/>
      <c r="BN71" t="str">
        <f t="shared" si="43"/>
        <v/>
      </c>
      <c r="BO71" t="str">
        <f t="shared" si="44"/>
        <v/>
      </c>
      <c r="BP71" t="str">
        <f t="shared" si="25"/>
        <v/>
      </c>
      <c r="BQ71" t="str">
        <f t="shared" si="26"/>
        <v/>
      </c>
      <c r="BR71" t="str">
        <f t="shared" si="27"/>
        <v/>
      </c>
      <c r="BS71" t="str">
        <f t="shared" si="28"/>
        <v/>
      </c>
      <c r="BT71" t="str">
        <f t="shared" si="29"/>
        <v/>
      </c>
      <c r="BU71" t="str">
        <f t="shared" si="45"/>
        <v/>
      </c>
      <c r="BV71" t="str">
        <f t="shared" si="46"/>
        <v/>
      </c>
      <c r="BW71">
        <f>'主翼(桁)'!BG68</f>
        <v>0.15490469120670711</v>
      </c>
      <c r="BX71">
        <f t="shared" si="47"/>
        <v>6.8801395130003357E-2</v>
      </c>
      <c r="BY71">
        <f t="shared" si="48"/>
        <v>0.22370608633671046</v>
      </c>
      <c r="CA71">
        <f t="shared" si="49"/>
        <v>12.09227277558729</v>
      </c>
      <c r="CB71">
        <f t="shared" si="50"/>
        <v>2.2701056240191197E-2</v>
      </c>
      <c r="CC71">
        <f t="shared" si="51"/>
        <v>12.069571719347099</v>
      </c>
      <c r="CE71" s="49">
        <f>BY71*パラメーター!$D$5</f>
        <v>2.1916485278407527</v>
      </c>
    </row>
    <row r="72" spans="4:83">
      <c r="D72">
        <f>'主翼(型紙出力)'!B75</f>
        <v>24</v>
      </c>
      <c r="E72">
        <f>'主翼(型紙出力)'!AP75</f>
        <v>3.6240216038099695</v>
      </c>
      <c r="F72">
        <f>'主翼(型紙出力)'!AQ75</f>
        <v>7.5931913221314123E-2</v>
      </c>
      <c r="G72">
        <f>'主翼(型紙出力)'!E75</f>
        <v>0.15</v>
      </c>
      <c r="H72">
        <f>'主翼(型紙出力)'!D75/1000</f>
        <v>0.994097087378641</v>
      </c>
      <c r="I72" t="str">
        <f>'主翼(型紙出力)'!H75</f>
        <v>full</v>
      </c>
      <c r="J72" t="str">
        <f>'主翼(型紙出力)'!G75</f>
        <v>1番</v>
      </c>
      <c r="K72">
        <f>'主翼(型紙出力)'!L75</f>
        <v>141.92882408383929</v>
      </c>
      <c r="L72">
        <f>'主翼(型紙出力)'!I75</f>
        <v>115.4937741935484</v>
      </c>
      <c r="M72">
        <f>'主翼(型紙出力)'!M75</f>
        <v>26.435049890290884</v>
      </c>
      <c r="N72" t="str">
        <f>主翼翼型1!$C$3</f>
        <v>QX0026 root.dat</v>
      </c>
      <c r="O72" cm="1">
        <f t="array" ref="O72">_xlfn.LET(
  _xlpm.y,$E72,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0.47610811502525452</v>
      </c>
      <c r="P72" t="str">
        <f>主翼翼型2!$C$3</f>
        <v>QX0226.dat</v>
      </c>
      <c r="Q72" cm="1">
        <f t="array" ref="Q72">_xlfn.LET(
  _xlpm.y,$E72,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0.52389188497474548</v>
      </c>
      <c r="R72" t="str">
        <f>主翼翼型3!$C$3</f>
        <v>QX0126.dat</v>
      </c>
      <c r="S72" cm="1">
        <f t="array" ref="S72">_xlfn.LET(
  _xlpm.y,$E72,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2" t="str">
        <f>主翼翼型4!$C$3</f>
        <v>QX0026 v32.dat</v>
      </c>
      <c r="U72" cm="1">
        <f t="array" ref="U72">_xlfn.LET(
  _xlpm.y,$E72,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2" t="str">
        <f>主翼翼型5!$C$3</f>
        <v>QX0026 v32.dat</v>
      </c>
      <c r="W72" cm="1">
        <f t="array" ref="W72">_xlfn.LET(
  _xlpm.y,$E72,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2" s="233">
        <f t="shared" si="30"/>
        <v>9.5653859478982348E-2</v>
      </c>
      <c r="Y72" s="233">
        <f t="shared" si="0"/>
        <v>1.5053129451066524E-3</v>
      </c>
      <c r="Z72" s="233">
        <f t="shared" si="31"/>
        <v>8.3999999999999995E-5</v>
      </c>
      <c r="AA72" s="233">
        <f t="shared" si="1"/>
        <v>4.7080950375721014E-4</v>
      </c>
      <c r="AB72" s="233">
        <f t="shared" si="32"/>
        <v>2.0000000000000002E-5</v>
      </c>
      <c r="AC72" s="233">
        <f t="shared" si="33"/>
        <v>6.6957701635287649E-4</v>
      </c>
      <c r="AD72">
        <f t="shared" si="2"/>
        <v>2.2579694176599785E-4</v>
      </c>
      <c r="AE72">
        <f t="shared" si="3"/>
        <v>1.26E-5</v>
      </c>
      <c r="AF72">
        <f t="shared" si="34"/>
        <v>3.2956665263004709E-6</v>
      </c>
      <c r="AG72">
        <f t="shared" si="35"/>
        <v>3.0000000000000001E-6</v>
      </c>
      <c r="AH72" t="str">
        <f t="shared" si="36"/>
        <v/>
      </c>
      <c r="AI72" t="str">
        <f t="shared" si="4"/>
        <v/>
      </c>
      <c r="AJ72" t="str">
        <f t="shared" si="37"/>
        <v/>
      </c>
      <c r="AK72" t="str">
        <f t="shared" si="38"/>
        <v/>
      </c>
      <c r="AL72" t="str">
        <f t="shared" si="5"/>
        <v/>
      </c>
      <c r="AM72" t="str">
        <f t="shared" si="39"/>
        <v/>
      </c>
      <c r="AN72" t="str">
        <f t="shared" si="6"/>
        <v/>
      </c>
      <c r="AO72" s="146"/>
      <c r="AP72">
        <f t="shared" si="7"/>
        <v>1.8078579441527666E-2</v>
      </c>
      <c r="AQ72">
        <f t="shared" si="8"/>
        <v>1.9192740050109815E-2</v>
      </c>
      <c r="AR72">
        <f t="shared" si="9"/>
        <v>1.6807899284132402E-3</v>
      </c>
      <c r="AS72">
        <f t="shared" si="10"/>
        <v>4.9434997894507067E-3</v>
      </c>
      <c r="AT72">
        <f t="shared" si="11"/>
        <v>4.5000000000000005E-3</v>
      </c>
      <c r="AU72">
        <f t="shared" si="12"/>
        <v>1.9367445798850039E-2</v>
      </c>
      <c r="AV72">
        <f t="shared" si="40"/>
        <v>0</v>
      </c>
      <c r="AW72" s="146"/>
      <c r="AX72" t="str">
        <f t="shared" si="13"/>
        <v/>
      </c>
      <c r="AY72" t="str">
        <f t="shared" si="14"/>
        <v/>
      </c>
      <c r="AZ72" t="str">
        <f t="shared" si="15"/>
        <v/>
      </c>
      <c r="BA72" t="str">
        <f t="shared" si="16"/>
        <v/>
      </c>
      <c r="BB72" t="str">
        <f t="shared" si="17"/>
        <v/>
      </c>
      <c r="BC72" t="str">
        <f t="shared" si="18"/>
        <v/>
      </c>
      <c r="BD72" t="str">
        <f t="shared" si="41"/>
        <v/>
      </c>
      <c r="BE72" s="146"/>
      <c r="BF72" t="str">
        <f t="shared" si="19"/>
        <v/>
      </c>
      <c r="BG72" t="str">
        <f t="shared" si="20"/>
        <v/>
      </c>
      <c r="BH72" t="str">
        <f t="shared" si="21"/>
        <v/>
      </c>
      <c r="BI72" t="str">
        <f t="shared" si="22"/>
        <v/>
      </c>
      <c r="BJ72" t="str">
        <f t="shared" si="23"/>
        <v/>
      </c>
      <c r="BK72" t="str">
        <f t="shared" si="24"/>
        <v/>
      </c>
      <c r="BL72" t="str">
        <f t="shared" si="42"/>
        <v/>
      </c>
      <c r="BM72" s="146"/>
      <c r="BN72" t="str">
        <f t="shared" si="43"/>
        <v/>
      </c>
      <c r="BO72" t="str">
        <f t="shared" si="44"/>
        <v/>
      </c>
      <c r="BP72" t="str">
        <f t="shared" si="25"/>
        <v/>
      </c>
      <c r="BQ72" t="str">
        <f t="shared" si="26"/>
        <v/>
      </c>
      <c r="BR72" t="str">
        <f t="shared" si="27"/>
        <v/>
      </c>
      <c r="BS72" t="str">
        <f t="shared" si="28"/>
        <v/>
      </c>
      <c r="BT72" t="str">
        <f t="shared" si="29"/>
        <v/>
      </c>
      <c r="BU72" t="str">
        <f t="shared" si="45"/>
        <v/>
      </c>
      <c r="BV72" t="str">
        <f t="shared" si="46"/>
        <v/>
      </c>
      <c r="BW72">
        <f>'主翼(桁)'!BG69</f>
        <v>0.15272375614140996</v>
      </c>
      <c r="BX72">
        <f t="shared" si="47"/>
        <v>6.7763055008351461E-2</v>
      </c>
      <c r="BY72">
        <f t="shared" si="48"/>
        <v>0.22048681114976143</v>
      </c>
      <c r="CA72">
        <f t="shared" si="49"/>
        <v>13.154556363372771</v>
      </c>
      <c r="CB72">
        <f t="shared" si="50"/>
        <v>2.102377849138851E-2</v>
      </c>
      <c r="CC72">
        <f t="shared" si="51"/>
        <v>13.133532584881383</v>
      </c>
      <c r="CE72" s="49">
        <f>BY72*パラメーター!$D$5</f>
        <v>2.1601092888342128</v>
      </c>
    </row>
    <row r="73" spans="4:83">
      <c r="D73">
        <f>'主翼(型紙出力)'!B76</f>
        <v>25</v>
      </c>
      <c r="E73">
        <f>'主翼(型紙出力)'!AP76</f>
        <v>3.7739050929310238</v>
      </c>
      <c r="F73">
        <f>'主翼(型紙出力)'!AQ76</f>
        <v>8.1842893588291027E-2</v>
      </c>
      <c r="G73">
        <f>'主翼(型紙出力)'!E76</f>
        <v>0.15</v>
      </c>
      <c r="H73">
        <f>'主翼(型紙出力)'!D76/1000</f>
        <v>0.98233009708737884</v>
      </c>
      <c r="I73" t="str">
        <f>'主翼(型紙出力)'!H76</f>
        <v>full</v>
      </c>
      <c r="J73" t="str">
        <f>'主翼(型紙出力)'!G76</f>
        <v>1番</v>
      </c>
      <c r="K73">
        <f>'主翼(型紙出力)'!L76</f>
        <v>139.90374134136809</v>
      </c>
      <c r="L73">
        <f>'主翼(型紙出力)'!I76</f>
        <v>113.88751612903229</v>
      </c>
      <c r="M73">
        <f>'主翼(型紙出力)'!M76</f>
        <v>26.016225212335797</v>
      </c>
      <c r="N73" t="str">
        <f>主翼翼型1!$C$3</f>
        <v>QX0026 root.dat</v>
      </c>
      <c r="O73" cm="1">
        <f t="array" ref="O73">_xlfn.LET(
  _xlpm.y,$E73,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0.41790093478406831</v>
      </c>
      <c r="P73" t="str">
        <f>主翼翼型2!$C$3</f>
        <v>QX0226.dat</v>
      </c>
      <c r="Q73" cm="1">
        <f t="array" ref="Q73">_xlfn.LET(
  _xlpm.y,$E73,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0.58209906521593169</v>
      </c>
      <c r="R73" t="str">
        <f>主翼翼型3!$C$3</f>
        <v>QX0126.dat</v>
      </c>
      <c r="S73" cm="1">
        <f t="array" ref="S73">_xlfn.LET(
  _xlpm.y,$E73,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3" t="str">
        <f>主翼翼型4!$C$3</f>
        <v>QX0026 v32.dat</v>
      </c>
      <c r="U73" cm="1">
        <f t="array" ref="U73">_xlfn.LET(
  _xlpm.y,$E73,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3" t="str">
        <f>主翼翼型5!$C$3</f>
        <v>QX0026 v32.dat</v>
      </c>
      <c r="W73" cm="1">
        <f t="array" ref="W73">_xlfn.LET(
  _xlpm.y,$E73,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3" s="233">
        <f t="shared" si="30"/>
        <v>9.3207766214274845E-2</v>
      </c>
      <c r="Y73" s="233">
        <f t="shared" si="0"/>
        <v>1.4876409124572317E-3</v>
      </c>
      <c r="Z73" s="233">
        <f t="shared" si="31"/>
        <v>8.3999999999999995E-5</v>
      </c>
      <c r="AA73" s="233">
        <f t="shared" si="1"/>
        <v>4.6518560938122366E-4</v>
      </c>
      <c r="AB73" s="233">
        <f t="shared" si="32"/>
        <v>2.0000000000000002E-5</v>
      </c>
      <c r="AC73" s="233">
        <f t="shared" si="33"/>
        <v>6.5245436349992397E-4</v>
      </c>
      <c r="AD73">
        <f t="shared" si="2"/>
        <v>2.2314613686858474E-4</v>
      </c>
      <c r="AE73">
        <f t="shared" si="3"/>
        <v>1.26E-5</v>
      </c>
      <c r="AF73">
        <f t="shared" si="34"/>
        <v>3.2562992656685659E-6</v>
      </c>
      <c r="AG73">
        <f t="shared" si="35"/>
        <v>3.0000000000000001E-6</v>
      </c>
      <c r="AH73" t="str">
        <f t="shared" si="36"/>
        <v/>
      </c>
      <c r="AI73" t="str">
        <f t="shared" si="4"/>
        <v/>
      </c>
      <c r="AJ73" t="str">
        <f t="shared" si="37"/>
        <v/>
      </c>
      <c r="AK73" t="str">
        <f t="shared" si="38"/>
        <v/>
      </c>
      <c r="AL73" t="str">
        <f t="shared" si="5"/>
        <v/>
      </c>
      <c r="AM73" t="str">
        <f t="shared" si="39"/>
        <v/>
      </c>
      <c r="AN73" t="str">
        <f t="shared" si="6"/>
        <v/>
      </c>
      <c r="AO73" s="146"/>
      <c r="AP73">
        <f t="shared" si="7"/>
        <v>1.7616267814497946E-2</v>
      </c>
      <c r="AQ73">
        <f t="shared" si="8"/>
        <v>1.8967421633829702E-2</v>
      </c>
      <c r="AR73">
        <f t="shared" si="9"/>
        <v>1.6607126254909687E-3</v>
      </c>
      <c r="AS73">
        <f t="shared" si="10"/>
        <v>4.8844488985028489E-3</v>
      </c>
      <c r="AT73">
        <f t="shared" si="11"/>
        <v>4.5000000000000005E-3</v>
      </c>
      <c r="AU73">
        <f t="shared" si="12"/>
        <v>1.9104768875483083E-2</v>
      </c>
      <c r="AV73">
        <f t="shared" si="40"/>
        <v>0</v>
      </c>
      <c r="AW73" s="146"/>
      <c r="AX73" t="str">
        <f t="shared" si="13"/>
        <v/>
      </c>
      <c r="AY73" t="str">
        <f t="shared" si="14"/>
        <v/>
      </c>
      <c r="AZ73" t="str">
        <f t="shared" si="15"/>
        <v/>
      </c>
      <c r="BA73" t="str">
        <f t="shared" si="16"/>
        <v/>
      </c>
      <c r="BB73" t="str">
        <f t="shared" si="17"/>
        <v/>
      </c>
      <c r="BC73" t="str">
        <f t="shared" si="18"/>
        <v/>
      </c>
      <c r="BD73" t="str">
        <f t="shared" si="41"/>
        <v/>
      </c>
      <c r="BE73" s="146"/>
      <c r="BF73" t="str">
        <f t="shared" si="19"/>
        <v/>
      </c>
      <c r="BG73" t="str">
        <f t="shared" si="20"/>
        <v/>
      </c>
      <c r="BH73" t="str">
        <f t="shared" si="21"/>
        <v/>
      </c>
      <c r="BI73" t="str">
        <f t="shared" si="22"/>
        <v/>
      </c>
      <c r="BJ73" t="str">
        <f t="shared" si="23"/>
        <v/>
      </c>
      <c r="BK73" t="str">
        <f t="shared" si="24"/>
        <v/>
      </c>
      <c r="BL73" t="str">
        <f t="shared" si="42"/>
        <v/>
      </c>
      <c r="BM73" s="146"/>
      <c r="BN73" t="str">
        <f t="shared" si="43"/>
        <v/>
      </c>
      <c r="BO73" t="str">
        <f t="shared" si="44"/>
        <v/>
      </c>
      <c r="BP73" t="str">
        <f t="shared" si="25"/>
        <v/>
      </c>
      <c r="BQ73" t="str">
        <f t="shared" si="26"/>
        <v/>
      </c>
      <c r="BR73" t="str">
        <f t="shared" si="27"/>
        <v/>
      </c>
      <c r="BS73" t="str">
        <f t="shared" si="28"/>
        <v/>
      </c>
      <c r="BT73" t="str">
        <f t="shared" si="29"/>
        <v/>
      </c>
      <c r="BU73" t="str">
        <f t="shared" si="45"/>
        <v/>
      </c>
      <c r="BV73" t="str">
        <f t="shared" si="46"/>
        <v/>
      </c>
      <c r="BW73">
        <f>'主翼(桁)'!BG70</f>
        <v>0.15054282107611272</v>
      </c>
      <c r="BX73">
        <f t="shared" si="47"/>
        <v>6.6733619847804543E-2</v>
      </c>
      <c r="BY73">
        <f t="shared" si="48"/>
        <v>0.21727644092391726</v>
      </c>
      <c r="CA73">
        <f t="shared" si="49"/>
        <v>14.261704234120572</v>
      </c>
      <c r="CB73">
        <f t="shared" si="50"/>
        <v>1.9344583669852235E-2</v>
      </c>
      <c r="CC73">
        <f t="shared" si="51"/>
        <v>14.242359650450719</v>
      </c>
      <c r="CE73" s="49">
        <f>BY73*パラメーター!$D$5</f>
        <v>2.1286572917316176</v>
      </c>
    </row>
    <row r="74" spans="4:83">
      <c r="D74">
        <f>'主翼(型紙出力)'!B77</f>
        <v>26</v>
      </c>
      <c r="E74">
        <f>'主翼(型紙出力)'!AP77</f>
        <v>3.9237789793986897</v>
      </c>
      <c r="F74">
        <f>'主翼(型紙出力)'!AQ77</f>
        <v>8.7992540332394231E-2</v>
      </c>
      <c r="G74">
        <f>'主翼(型紙出力)'!E77</f>
        <v>0.15</v>
      </c>
      <c r="H74">
        <f>'主翼(型紙出力)'!D77/1000</f>
        <v>0.97056310679611668</v>
      </c>
      <c r="I74" t="str">
        <f>'主翼(型紙出力)'!H77</f>
        <v>full</v>
      </c>
      <c r="J74" t="str">
        <f>'主翼(型紙出力)'!G77</f>
        <v>1番</v>
      </c>
      <c r="K74">
        <f>'主翼(型紙出力)'!L77</f>
        <v>137.8869260440793</v>
      </c>
      <c r="L74">
        <f>'主翼(型紙出力)'!I77</f>
        <v>112.28125806451615</v>
      </c>
      <c r="M74">
        <f>'主翼(型紙出力)'!M77</f>
        <v>25.605667979563151</v>
      </c>
      <c r="N74" t="str">
        <f>主翼翼型1!$C$3</f>
        <v>QX0026 root.dat</v>
      </c>
      <c r="O74" cm="1">
        <f t="array" ref="O74">_xlfn.LET(
  _xlpm.y,$E74,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0.35969748372866406</v>
      </c>
      <c r="P74" t="str">
        <f>主翼翼型2!$C$3</f>
        <v>QX0226.dat</v>
      </c>
      <c r="Q74" cm="1">
        <f t="array" ref="Q74">_xlfn.LET(
  _xlpm.y,$E74,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0.64030251627133594</v>
      </c>
      <c r="R74" t="str">
        <f>主翼翼型3!$C$3</f>
        <v>QX0126.dat</v>
      </c>
      <c r="S74" cm="1">
        <f t="array" ref="S74">_xlfn.LET(
  _xlpm.y,$E74,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4" t="str">
        <f>主翼翼型4!$C$3</f>
        <v>QX0026 v32.dat</v>
      </c>
      <c r="U74" cm="1">
        <f t="array" ref="U74">_xlfn.LET(
  _xlpm.y,$E74,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4" t="str">
        <f>主翼翼型5!$C$3</f>
        <v>QX0026 v32.dat</v>
      </c>
      <c r="W74" cm="1">
        <f t="array" ref="W74">_xlfn.LET(
  _xlpm.y,$E74,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4" s="233">
        <f t="shared" si="30"/>
        <v>9.079777749631425E-2</v>
      </c>
      <c r="Y74" s="233">
        <f t="shared" si="0"/>
        <v>1.4699653692126014E-3</v>
      </c>
      <c r="Z74" s="233">
        <f t="shared" si="31"/>
        <v>8.3999999999999995E-5</v>
      </c>
      <c r="AA74" s="233">
        <f t="shared" si="1"/>
        <v>4.5956293974692871E-4</v>
      </c>
      <c r="AB74" s="233">
        <f t="shared" si="32"/>
        <v>2.0000000000000002E-5</v>
      </c>
      <c r="AC74" s="233">
        <f t="shared" si="33"/>
        <v>6.3558444247419977E-4</v>
      </c>
      <c r="AD74">
        <f t="shared" si="2"/>
        <v>2.204948053818902E-4</v>
      </c>
      <c r="AE74">
        <f t="shared" si="3"/>
        <v>1.26E-5</v>
      </c>
      <c r="AF74">
        <f t="shared" si="34"/>
        <v>3.2169405782285012E-6</v>
      </c>
      <c r="AG74">
        <f t="shared" si="35"/>
        <v>3.0000000000000001E-6</v>
      </c>
      <c r="AH74" t="str">
        <f t="shared" si="36"/>
        <v/>
      </c>
      <c r="AI74" t="str">
        <f t="shared" si="4"/>
        <v/>
      </c>
      <c r="AJ74" t="str">
        <f t="shared" si="37"/>
        <v/>
      </c>
      <c r="AK74" t="str">
        <f t="shared" si="38"/>
        <v/>
      </c>
      <c r="AL74" t="str">
        <f t="shared" si="5"/>
        <v/>
      </c>
      <c r="AM74" t="str">
        <f t="shared" si="39"/>
        <v/>
      </c>
      <c r="AN74" t="str">
        <f t="shared" si="6"/>
        <v/>
      </c>
      <c r="AO74" s="146"/>
      <c r="AP74">
        <f t="shared" si="7"/>
        <v>1.7160779946803394E-2</v>
      </c>
      <c r="AQ74">
        <f t="shared" si="8"/>
        <v>1.8742058457460666E-2</v>
      </c>
      <c r="AR74">
        <f t="shared" si="9"/>
        <v>1.6406396948965357E-3</v>
      </c>
      <c r="AS74">
        <f t="shared" si="10"/>
        <v>4.8254108673427519E-3</v>
      </c>
      <c r="AT74">
        <f t="shared" si="11"/>
        <v>4.5000000000000005E-3</v>
      </c>
      <c r="AU74">
        <f t="shared" si="12"/>
        <v>1.884416888302385E-2</v>
      </c>
      <c r="AV74">
        <f t="shared" si="40"/>
        <v>0</v>
      </c>
      <c r="AW74" s="146"/>
      <c r="AX74" t="str">
        <f t="shared" si="13"/>
        <v/>
      </c>
      <c r="AY74" t="str">
        <f t="shared" si="14"/>
        <v/>
      </c>
      <c r="AZ74" t="str">
        <f t="shared" si="15"/>
        <v/>
      </c>
      <c r="BA74" t="str">
        <f t="shared" si="16"/>
        <v/>
      </c>
      <c r="BB74" t="str">
        <f t="shared" si="17"/>
        <v/>
      </c>
      <c r="BC74" t="str">
        <f t="shared" si="18"/>
        <v/>
      </c>
      <c r="BD74" t="str">
        <f t="shared" si="41"/>
        <v/>
      </c>
      <c r="BE74" s="146"/>
      <c r="BF74" t="str">
        <f t="shared" si="19"/>
        <v/>
      </c>
      <c r="BG74" t="str">
        <f t="shared" si="20"/>
        <v/>
      </c>
      <c r="BH74" t="str">
        <f t="shared" si="21"/>
        <v/>
      </c>
      <c r="BI74" t="str">
        <f t="shared" si="22"/>
        <v/>
      </c>
      <c r="BJ74" t="str">
        <f t="shared" si="23"/>
        <v/>
      </c>
      <c r="BK74" t="str">
        <f t="shared" si="24"/>
        <v/>
      </c>
      <c r="BL74" t="str">
        <f t="shared" si="42"/>
        <v/>
      </c>
      <c r="BM74" s="146"/>
      <c r="BN74" t="str">
        <f t="shared" si="43"/>
        <v/>
      </c>
      <c r="BO74" t="str">
        <f t="shared" si="44"/>
        <v/>
      </c>
      <c r="BP74" t="str">
        <f t="shared" si="25"/>
        <v/>
      </c>
      <c r="BQ74" t="str">
        <f t="shared" si="26"/>
        <v/>
      </c>
      <c r="BR74" t="str">
        <f t="shared" si="27"/>
        <v/>
      </c>
      <c r="BS74" t="str">
        <f t="shared" si="28"/>
        <v/>
      </c>
      <c r="BT74" t="str">
        <f t="shared" si="29"/>
        <v/>
      </c>
      <c r="BU74" t="str">
        <f t="shared" si="45"/>
        <v/>
      </c>
      <c r="BV74" t="str">
        <f t="shared" si="46"/>
        <v/>
      </c>
      <c r="BW74">
        <f>'主翼(桁)'!BG71</f>
        <v>0.14836188601081549</v>
      </c>
      <c r="BX74">
        <f t="shared" si="47"/>
        <v>6.571305784952719E-2</v>
      </c>
      <c r="BY74">
        <f t="shared" si="48"/>
        <v>0.21407494386034268</v>
      </c>
      <c r="CA74">
        <f t="shared" si="49"/>
        <v>15.413713236129089</v>
      </c>
      <c r="CB74">
        <f t="shared" si="50"/>
        <v>1.7671756958066137E-2</v>
      </c>
      <c r="CC74">
        <f t="shared" si="51"/>
        <v>15.396041479171023</v>
      </c>
      <c r="CE74" s="49">
        <f>BY74*パラメーター!$D$5</f>
        <v>2.0972922249997774</v>
      </c>
    </row>
    <row r="75" spans="4:83">
      <c r="D75">
        <f>'主翼(型紙出力)'!B78</f>
        <v>27</v>
      </c>
      <c r="E75">
        <f>'主翼(型紙出力)'!AP78</f>
        <v>4.0736428567973206</v>
      </c>
      <c r="F75">
        <f>'主翼(型紙出力)'!AQ78</f>
        <v>9.4381456597945002E-2</v>
      </c>
      <c r="G75">
        <f>'主翼(型紙出力)'!E78</f>
        <v>0.15</v>
      </c>
      <c r="H75">
        <f>'主翼(型紙出力)'!D78/1000</f>
        <v>0.95879611650485441</v>
      </c>
      <c r="I75" t="str">
        <f>'主翼(型紙出力)'!H78</f>
        <v>full</v>
      </c>
      <c r="J75" t="str">
        <f>'主翼(型紙出力)'!G78</f>
        <v>1番</v>
      </c>
      <c r="K75">
        <f>'主翼(型紙出力)'!L78</f>
        <v>135.87837819197287</v>
      </c>
      <c r="L75">
        <f>'主翼(型紙出力)'!I78</f>
        <v>110.67500000000003</v>
      </c>
      <c r="M75">
        <f>'主翼(型紙出力)'!M78</f>
        <v>25.203378191972845</v>
      </c>
      <c r="N75" t="str">
        <f>主翼翼型1!$C$3</f>
        <v>QX0026 root.dat</v>
      </c>
      <c r="O75" cm="1">
        <f t="array" ref="O75">_xlfn.LET(
  _xlpm.y,$E75,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0.30149791969036077</v>
      </c>
      <c r="P75" t="str">
        <f>主翼翼型2!$C$3</f>
        <v>QX0226.dat</v>
      </c>
      <c r="Q75" cm="1">
        <f t="array" ref="Q75">_xlfn.LET(
  _xlpm.y,$E75,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0.69850208030963923</v>
      </c>
      <c r="R75" t="str">
        <f>主翼翼型3!$C$3</f>
        <v>QX0126.dat</v>
      </c>
      <c r="S75" cm="1">
        <f t="array" ref="S75">_xlfn.LET(
  _xlpm.y,$E75,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5" t="str">
        <f>主翼翼型4!$C$3</f>
        <v>QX0026 v32.dat</v>
      </c>
      <c r="U75" cm="1">
        <f t="array" ref="U75">_xlfn.LET(
  _xlpm.y,$E75,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5" t="str">
        <f>主翼翼型5!$C$3</f>
        <v>QX0026 v32.dat</v>
      </c>
      <c r="W75" cm="1">
        <f t="array" ref="W75">_xlfn.LET(
  _xlpm.y,$E75,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5" s="233">
        <f t="shared" si="30"/>
        <v>8.8423725055325156E-2</v>
      </c>
      <c r="Y75" s="233">
        <f t="shared" si="0"/>
        <v>1.4522863153224477E-3</v>
      </c>
      <c r="Z75" s="233">
        <f t="shared" si="31"/>
        <v>8.3999999999999995E-5</v>
      </c>
      <c r="AA75" s="233">
        <f t="shared" si="1"/>
        <v>4.5394149487187798E-4</v>
      </c>
      <c r="AB75" s="233">
        <f t="shared" si="32"/>
        <v>2.0000000000000002E-5</v>
      </c>
      <c r="AC75" s="233">
        <f t="shared" si="33"/>
        <v>6.1896607538727616E-4</v>
      </c>
      <c r="AD75">
        <f t="shared" si="2"/>
        <v>2.1784294729836716E-4</v>
      </c>
      <c r="AE75">
        <f t="shared" si="3"/>
        <v>1.26E-5</v>
      </c>
      <c r="AF75">
        <f t="shared" si="34"/>
        <v>3.1775904641031457E-6</v>
      </c>
      <c r="AG75">
        <f t="shared" si="35"/>
        <v>3.0000000000000001E-6</v>
      </c>
      <c r="AH75" t="str">
        <f t="shared" si="36"/>
        <v/>
      </c>
      <c r="AI75" t="str">
        <f t="shared" si="4"/>
        <v/>
      </c>
      <c r="AJ75" t="str">
        <f t="shared" si="37"/>
        <v/>
      </c>
      <c r="AK75" t="str">
        <f t="shared" si="38"/>
        <v/>
      </c>
      <c r="AL75" t="str">
        <f t="shared" si="5"/>
        <v/>
      </c>
      <c r="AM75" t="str">
        <f t="shared" si="39"/>
        <v/>
      </c>
      <c r="AN75" t="str">
        <f t="shared" si="6"/>
        <v/>
      </c>
      <c r="AO75" s="146"/>
      <c r="AP75">
        <f t="shared" si="7"/>
        <v>1.6712084035456456E-2</v>
      </c>
      <c r="AQ75">
        <f t="shared" si="8"/>
        <v>1.8516650520361208E-2</v>
      </c>
      <c r="AR75">
        <f t="shared" si="9"/>
        <v>1.6205711366926044E-3</v>
      </c>
      <c r="AS75">
        <f t="shared" si="10"/>
        <v>4.7663856961547187E-3</v>
      </c>
      <c r="AT75">
        <f t="shared" si="11"/>
        <v>4.5000000000000005E-3</v>
      </c>
      <c r="AU75">
        <f t="shared" si="12"/>
        <v>1.8585645821472336E-2</v>
      </c>
      <c r="AV75">
        <f t="shared" si="40"/>
        <v>0</v>
      </c>
      <c r="AW75" s="146"/>
      <c r="AX75" t="str">
        <f t="shared" si="13"/>
        <v/>
      </c>
      <c r="AY75" t="str">
        <f t="shared" si="14"/>
        <v/>
      </c>
      <c r="AZ75" t="str">
        <f t="shared" si="15"/>
        <v/>
      </c>
      <c r="BA75" t="str">
        <f t="shared" si="16"/>
        <v/>
      </c>
      <c r="BB75" t="str">
        <f t="shared" si="17"/>
        <v/>
      </c>
      <c r="BC75" t="str">
        <f t="shared" si="18"/>
        <v/>
      </c>
      <c r="BD75" t="str">
        <f t="shared" si="41"/>
        <v/>
      </c>
      <c r="BE75" s="146"/>
      <c r="BF75" t="str">
        <f t="shared" si="19"/>
        <v/>
      </c>
      <c r="BG75" t="str">
        <f t="shared" si="20"/>
        <v/>
      </c>
      <c r="BH75" t="str">
        <f t="shared" si="21"/>
        <v/>
      </c>
      <c r="BI75" t="str">
        <f t="shared" si="22"/>
        <v/>
      </c>
      <c r="BJ75" t="str">
        <f t="shared" si="23"/>
        <v/>
      </c>
      <c r="BK75" t="str">
        <f t="shared" si="24"/>
        <v/>
      </c>
      <c r="BL75" t="str">
        <f t="shared" si="42"/>
        <v/>
      </c>
      <c r="BM75" s="146"/>
      <c r="BN75" t="str">
        <f t="shared" si="43"/>
        <v/>
      </c>
      <c r="BO75" t="str">
        <f t="shared" si="44"/>
        <v/>
      </c>
      <c r="BP75" t="str">
        <f t="shared" si="25"/>
        <v/>
      </c>
      <c r="BQ75" t="str">
        <f t="shared" si="26"/>
        <v/>
      </c>
      <c r="BR75" t="str">
        <f t="shared" si="27"/>
        <v/>
      </c>
      <c r="BS75" t="str">
        <f t="shared" si="28"/>
        <v/>
      </c>
      <c r="BT75" t="str">
        <f t="shared" si="29"/>
        <v/>
      </c>
      <c r="BU75" t="str">
        <f t="shared" si="45"/>
        <v/>
      </c>
      <c r="BV75" t="str">
        <f t="shared" si="46"/>
        <v/>
      </c>
      <c r="BW75">
        <f>'主翼(桁)'!BG72</f>
        <v>0.14618095094551872</v>
      </c>
      <c r="BX75">
        <f t="shared" si="47"/>
        <v>6.4701337210137322E-2</v>
      </c>
      <c r="BY75">
        <f t="shared" si="48"/>
        <v>0.21088228815565604</v>
      </c>
      <c r="CA75">
        <f t="shared" si="49"/>
        <v>16.610580076723657</v>
      </c>
      <c r="CB75">
        <f t="shared" si="50"/>
        <v>1.6013951987823117E-2</v>
      </c>
      <c r="CC75">
        <f t="shared" si="51"/>
        <v>16.594566124735834</v>
      </c>
      <c r="CE75" s="49">
        <f>BY75*パラメーター!$D$5</f>
        <v>2.0660137770609626</v>
      </c>
    </row>
    <row r="76" spans="4:83">
      <c r="D76">
        <f>'主翼(型紙出力)'!B79</f>
        <v>28</v>
      </c>
      <c r="E76">
        <f>'主翼(型紙出力)'!AP79</f>
        <v>4.2234963153358951</v>
      </c>
      <c r="F76">
        <f>'主翼(型紙出力)'!AQ79</f>
        <v>0.10101025468112841</v>
      </c>
      <c r="G76">
        <f>'主翼(型紙出力)'!E79</f>
        <v>0.15</v>
      </c>
      <c r="H76">
        <f>'主翼(型紙出力)'!D79/1000</f>
        <v>0.94702912621359236</v>
      </c>
      <c r="I76" t="str">
        <f>'主翼(型紙出力)'!H79</f>
        <v>full</v>
      </c>
      <c r="J76" t="str">
        <f>'主翼(型紙出力)'!G79</f>
        <v>1番</v>
      </c>
      <c r="K76">
        <f>'主翼(型紙出力)'!L79</f>
        <v>133.87809778504882</v>
      </c>
      <c r="L76">
        <f>'主翼(型紙出力)'!I79</f>
        <v>109.0687419354839</v>
      </c>
      <c r="M76">
        <f>'主翼(型紙出力)'!M79</f>
        <v>24.809355849564923</v>
      </c>
      <c r="N76" t="str">
        <f>主翼翼型1!$C$3</f>
        <v>QX0026 root.dat</v>
      </c>
      <c r="O76" cm="1">
        <f t="array" ref="O76">_xlfn.LET(
  _xlpm.y,$E76,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0.2433024018113028</v>
      </c>
      <c r="P76" t="str">
        <f>主翼翼型2!$C$3</f>
        <v>QX0226.dat</v>
      </c>
      <c r="Q76" cm="1">
        <f t="array" ref="Q76">_xlfn.LET(
  _xlpm.y,$E76,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0.7566975981886972</v>
      </c>
      <c r="R76" t="str">
        <f>主翼翼型3!$C$3</f>
        <v>QX0126.dat</v>
      </c>
      <c r="S76" cm="1">
        <f t="array" ref="S76">_xlfn.LET(
  _xlpm.y,$E76,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6" t="str">
        <f>主翼翼型4!$C$3</f>
        <v>QX0026 v32.dat</v>
      </c>
      <c r="U76" cm="1">
        <f t="array" ref="U76">_xlfn.LET(
  _xlpm.y,$E76,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6" t="str">
        <f>主翼翼型5!$C$3</f>
        <v>QX0026 v32.dat</v>
      </c>
      <c r="W76" cm="1">
        <f t="array" ref="W76">_xlfn.LET(
  _xlpm.y,$E76,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6" s="233">
        <f t="shared" si="30"/>
        <v>8.608544059797113E-2</v>
      </c>
      <c r="Y76" s="233">
        <f t="shared" si="0"/>
        <v>1.4346037507522739E-3</v>
      </c>
      <c r="Z76" s="233">
        <f t="shared" si="31"/>
        <v>8.3999999999999995E-5</v>
      </c>
      <c r="AA76" s="233">
        <f t="shared" si="1"/>
        <v>4.4832127476810693E-4</v>
      </c>
      <c r="AB76" s="233">
        <f t="shared" si="32"/>
        <v>2.0000000000000002E-5</v>
      </c>
      <c r="AC76" s="233">
        <f t="shared" si="33"/>
        <v>6.0259808418579796E-4</v>
      </c>
      <c r="AD76">
        <f t="shared" si="2"/>
        <v>2.1519056261284109E-4</v>
      </c>
      <c r="AE76">
        <f t="shared" si="3"/>
        <v>1.26E-5</v>
      </c>
      <c r="AF76">
        <f t="shared" si="34"/>
        <v>3.1382489233767484E-6</v>
      </c>
      <c r="AG76">
        <f t="shared" si="35"/>
        <v>3.0000000000000001E-6</v>
      </c>
      <c r="AH76" t="str">
        <f t="shared" si="36"/>
        <v/>
      </c>
      <c r="AI76" t="str">
        <f t="shared" si="4"/>
        <v/>
      </c>
      <c r="AJ76" t="str">
        <f t="shared" si="37"/>
        <v/>
      </c>
      <c r="AK76" t="str">
        <f t="shared" si="38"/>
        <v/>
      </c>
      <c r="AL76" t="str">
        <f t="shared" si="5"/>
        <v/>
      </c>
      <c r="AM76" t="str">
        <f t="shared" si="39"/>
        <v/>
      </c>
      <c r="AN76" t="str">
        <f t="shared" si="6"/>
        <v/>
      </c>
      <c r="AO76" s="146"/>
      <c r="AP76">
        <f t="shared" si="7"/>
        <v>1.6270148273016545E-2</v>
      </c>
      <c r="AQ76">
        <f t="shared" si="8"/>
        <v>1.8291197822091491E-2</v>
      </c>
      <c r="AR76">
        <f t="shared" si="9"/>
        <v>1.6005069509221416E-3</v>
      </c>
      <c r="AS76">
        <f t="shared" si="10"/>
        <v>4.707373385065123E-3</v>
      </c>
      <c r="AT76">
        <f t="shared" si="11"/>
        <v>4.5000000000000005E-3</v>
      </c>
      <c r="AU76">
        <f t="shared" si="12"/>
        <v>1.8329199690828545E-2</v>
      </c>
      <c r="AV76">
        <f t="shared" si="40"/>
        <v>0</v>
      </c>
      <c r="AW76" s="146"/>
      <c r="AX76" t="str">
        <f t="shared" si="13"/>
        <v/>
      </c>
      <c r="AY76" t="str">
        <f t="shared" si="14"/>
        <v/>
      </c>
      <c r="AZ76" t="str">
        <f t="shared" si="15"/>
        <v/>
      </c>
      <c r="BA76" t="str">
        <f t="shared" si="16"/>
        <v/>
      </c>
      <c r="BB76" t="str">
        <f t="shared" si="17"/>
        <v/>
      </c>
      <c r="BC76" t="str">
        <f t="shared" si="18"/>
        <v/>
      </c>
      <c r="BD76" t="str">
        <f t="shared" si="41"/>
        <v/>
      </c>
      <c r="BE76" s="146"/>
      <c r="BF76" t="str">
        <f t="shared" si="19"/>
        <v/>
      </c>
      <c r="BG76" t="str">
        <f t="shared" si="20"/>
        <v/>
      </c>
      <c r="BH76" t="str">
        <f t="shared" si="21"/>
        <v/>
      </c>
      <c r="BI76" t="str">
        <f t="shared" si="22"/>
        <v/>
      </c>
      <c r="BJ76" t="str">
        <f t="shared" si="23"/>
        <v/>
      </c>
      <c r="BK76" t="str">
        <f t="shared" si="24"/>
        <v/>
      </c>
      <c r="BL76" t="str">
        <f t="shared" si="42"/>
        <v/>
      </c>
      <c r="BM76" s="146"/>
      <c r="BN76" t="str">
        <f t="shared" si="43"/>
        <v/>
      </c>
      <c r="BO76" t="str">
        <f t="shared" si="44"/>
        <v/>
      </c>
      <c r="BP76" t="str">
        <f t="shared" si="25"/>
        <v/>
      </c>
      <c r="BQ76" t="str">
        <f t="shared" si="26"/>
        <v/>
      </c>
      <c r="BR76" t="str">
        <f t="shared" si="27"/>
        <v/>
      </c>
      <c r="BS76" t="str">
        <f t="shared" si="28"/>
        <v/>
      </c>
      <c r="BT76" t="str">
        <f t="shared" si="29"/>
        <v/>
      </c>
      <c r="BU76" t="str">
        <f t="shared" si="45"/>
        <v/>
      </c>
      <c r="BV76" t="str">
        <f t="shared" si="46"/>
        <v/>
      </c>
      <c r="BW76">
        <f>'主翼(桁)'!BG73</f>
        <v>0.14400001588022132</v>
      </c>
      <c r="BX76">
        <f t="shared" si="47"/>
        <v>6.3698426121923862E-2</v>
      </c>
      <c r="BY76">
        <f t="shared" si="48"/>
        <v>0.20769844200214518</v>
      </c>
      <c r="CA76">
        <f t="shared" si="49"/>
        <v>17.852301319602265</v>
      </c>
      <c r="CB76">
        <f t="shared" si="50"/>
        <v>1.4380193946382938E-2</v>
      </c>
      <c r="CC76">
        <f t="shared" si="51"/>
        <v>17.837921125655882</v>
      </c>
      <c r="CE76" s="49">
        <f>BY76*パラメーター!$D$5</f>
        <v>2.0348216362950167</v>
      </c>
    </row>
    <row r="77" spans="4:83">
      <c r="D77">
        <f>'主翼(型紙出力)'!B80</f>
        <v>29</v>
      </c>
      <c r="E77">
        <f>'主翼(型紙出力)'!AP80</f>
        <v>4.3733389417198367</v>
      </c>
      <c r="F77">
        <f>'主翼(型紙出力)'!AQ80</f>
        <v>0.10787955729220386</v>
      </c>
      <c r="G77">
        <f>'主翼(型紙出力)'!E80</f>
        <v>0.15</v>
      </c>
      <c r="H77">
        <f>'主翼(型紙出力)'!D80/1000</f>
        <v>0.93526213592233021</v>
      </c>
      <c r="I77" t="str">
        <f>'主翼(型紙出力)'!H80</f>
        <v>full</v>
      </c>
      <c r="J77" t="str">
        <f>'主翼(型紙出力)'!G80</f>
        <v>1番</v>
      </c>
      <c r="K77">
        <f>'主翼(型紙出力)'!L80</f>
        <v>131.88608482330719</v>
      </c>
      <c r="L77">
        <f>'主翼(型紙出力)'!I80</f>
        <v>107.46248387096776</v>
      </c>
      <c r="M77">
        <f>'主翼(型紙出力)'!M80</f>
        <v>24.423600952339427</v>
      </c>
      <c r="N77" t="str">
        <f>主翼翼型1!$C$3</f>
        <v>QX0026 root.dat</v>
      </c>
      <c r="O77" cm="1">
        <f t="array" ref="O77">_xlfn.LET(
  _xlpm.y,$E77,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0.18511109059423803</v>
      </c>
      <c r="P77" t="str">
        <f>主翼翼型2!$C$3</f>
        <v>QX0226.dat</v>
      </c>
      <c r="Q77" cm="1">
        <f t="array" ref="Q77">_xlfn.LET(
  _xlpm.y,$E77,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0.81488890940576197</v>
      </c>
      <c r="R77" t="str">
        <f>主翼翼型3!$C$3</f>
        <v>QX0126.dat</v>
      </c>
      <c r="S77" cm="1">
        <f t="array" ref="S77">_xlfn.LET(
  _xlpm.y,$E77,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7" t="str">
        <f>主翼翼型4!$C$3</f>
        <v>QX0026 v32.dat</v>
      </c>
      <c r="U77" cm="1">
        <f t="array" ref="U77">_xlfn.LET(
  _xlpm.y,$E77,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7" t="str">
        <f>主翼翼型5!$C$3</f>
        <v>QX0026 v32.dat</v>
      </c>
      <c r="W77" cm="1">
        <f t="array" ref="W77">_xlfn.LET(
  _xlpm.y,$E77,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7" s="233">
        <f t="shared" si="30"/>
        <v>8.3782755808519335E-2</v>
      </c>
      <c r="Y77" s="233">
        <f t="shared" si="0"/>
        <v>1.4169176754834742E-3</v>
      </c>
      <c r="Z77" s="233">
        <f t="shared" si="31"/>
        <v>8.3999999999999995E-5</v>
      </c>
      <c r="AA77" s="233">
        <f t="shared" si="1"/>
        <v>4.4270227944210596E-4</v>
      </c>
      <c r="AB77" s="233">
        <f t="shared" si="32"/>
        <v>2.0000000000000002E-5</v>
      </c>
      <c r="AC77" s="233">
        <f t="shared" si="33"/>
        <v>5.8647929065963535E-4</v>
      </c>
      <c r="AD77">
        <f t="shared" si="2"/>
        <v>2.1253765132252112E-4</v>
      </c>
      <c r="AE77">
        <f t="shared" si="3"/>
        <v>1.26E-5</v>
      </c>
      <c r="AF77">
        <f t="shared" si="34"/>
        <v>3.0989159560947419E-6</v>
      </c>
      <c r="AG77">
        <f t="shared" si="35"/>
        <v>3.0000000000000001E-6</v>
      </c>
      <c r="AH77" t="str">
        <f t="shared" si="36"/>
        <v/>
      </c>
      <c r="AI77" t="str">
        <f t="shared" si="4"/>
        <v/>
      </c>
      <c r="AJ77" t="str">
        <f t="shared" si="37"/>
        <v/>
      </c>
      <c r="AK77" t="str">
        <f t="shared" si="38"/>
        <v/>
      </c>
      <c r="AL77" t="str">
        <f t="shared" si="5"/>
        <v/>
      </c>
      <c r="AM77" t="str">
        <f t="shared" si="39"/>
        <v/>
      </c>
      <c r="AN77" t="str">
        <f t="shared" si="6"/>
        <v/>
      </c>
      <c r="AO77" s="146"/>
      <c r="AP77">
        <f t="shared" si="7"/>
        <v>1.5834940847810154E-2</v>
      </c>
      <c r="AQ77">
        <f t="shared" si="8"/>
        <v>1.8065700362414294E-2</v>
      </c>
      <c r="AR77">
        <f t="shared" si="9"/>
        <v>1.5804471376083184E-3</v>
      </c>
      <c r="AS77">
        <f t="shared" si="10"/>
        <v>4.6483739341421125E-3</v>
      </c>
      <c r="AT77">
        <f t="shared" si="11"/>
        <v>4.5000000000000005E-3</v>
      </c>
      <c r="AU77">
        <f t="shared" si="12"/>
        <v>1.8074830491092469E-2</v>
      </c>
      <c r="AV77">
        <f t="shared" si="40"/>
        <v>0</v>
      </c>
      <c r="AW77" s="146"/>
      <c r="AX77" t="str">
        <f t="shared" si="13"/>
        <v/>
      </c>
      <c r="AY77" t="str">
        <f t="shared" si="14"/>
        <v/>
      </c>
      <c r="AZ77" t="str">
        <f t="shared" si="15"/>
        <v/>
      </c>
      <c r="BA77" t="str">
        <f t="shared" si="16"/>
        <v/>
      </c>
      <c r="BB77" t="str">
        <f t="shared" si="17"/>
        <v/>
      </c>
      <c r="BC77" t="str">
        <f t="shared" si="18"/>
        <v/>
      </c>
      <c r="BD77" t="str">
        <f t="shared" si="41"/>
        <v/>
      </c>
      <c r="BE77" s="146"/>
      <c r="BF77" t="str">
        <f t="shared" si="19"/>
        <v/>
      </c>
      <c r="BG77" t="str">
        <f t="shared" si="20"/>
        <v/>
      </c>
      <c r="BH77" t="str">
        <f t="shared" si="21"/>
        <v/>
      </c>
      <c r="BI77" t="str">
        <f t="shared" si="22"/>
        <v/>
      </c>
      <c r="BJ77" t="str">
        <f t="shared" si="23"/>
        <v/>
      </c>
      <c r="BK77" t="str">
        <f t="shared" si="24"/>
        <v/>
      </c>
      <c r="BL77" t="str">
        <f t="shared" si="42"/>
        <v/>
      </c>
      <c r="BM77" s="146"/>
      <c r="BN77" t="str">
        <f t="shared" si="43"/>
        <v/>
      </c>
      <c r="BO77" t="str">
        <f t="shared" si="44"/>
        <v/>
      </c>
      <c r="BP77" t="str">
        <f t="shared" si="25"/>
        <v/>
      </c>
      <c r="BQ77" t="str">
        <f t="shared" si="26"/>
        <v/>
      </c>
      <c r="BR77" t="str">
        <f t="shared" si="27"/>
        <v/>
      </c>
      <c r="BS77" t="str">
        <f t="shared" si="28"/>
        <v/>
      </c>
      <c r="BT77" t="str">
        <f t="shared" si="29"/>
        <v/>
      </c>
      <c r="BU77" t="str">
        <f t="shared" si="45"/>
        <v/>
      </c>
      <c r="BV77" t="str">
        <f t="shared" si="46"/>
        <v/>
      </c>
      <c r="BW77">
        <f>'主翼(桁)'!BG74</f>
        <v>0.14181908081492409</v>
      </c>
      <c r="BX77">
        <f t="shared" si="47"/>
        <v>6.2704292773067355E-2</v>
      </c>
      <c r="BY77">
        <f t="shared" si="48"/>
        <v>0.20452337358799144</v>
      </c>
      <c r="CA77">
        <f t="shared" si="49"/>
        <v>19.138873381972861</v>
      </c>
      <c r="CB77">
        <f t="shared" si="50"/>
        <v>1.2779882809677458E-2</v>
      </c>
      <c r="CC77">
        <f t="shared" si="51"/>
        <v>19.126093499163183</v>
      </c>
      <c r="CE77" s="49">
        <f>BY77*パラメーター!$D$5</f>
        <v>2.0037154910415524</v>
      </c>
    </row>
    <row r="78" spans="4:83">
      <c r="D78">
        <f>'主翼(型紙出力)'!B81</f>
        <v>30</v>
      </c>
      <c r="E78">
        <f>'主翼(型紙出力)'!AP81</f>
        <v>4.5231703190046133</v>
      </c>
      <c r="F78">
        <f>'主翼(型紙出力)'!AQ81</f>
        <v>0.11498999897658171</v>
      </c>
      <c r="G78">
        <f>'主翼(型紙出力)'!E81</f>
        <v>0.15</v>
      </c>
      <c r="H78">
        <f>'主翼(型紙出力)'!D81/1000</f>
        <v>0.92349514563106805</v>
      </c>
      <c r="I78" t="str">
        <f>'主翼(型紙出力)'!H81</f>
        <v>full</v>
      </c>
      <c r="J78" t="str">
        <f>'主翼(型紙出力)'!G81</f>
        <v>1番</v>
      </c>
      <c r="K78">
        <f>'主翼(型紙出力)'!L81</f>
        <v>129.9023393067479</v>
      </c>
      <c r="L78">
        <f>'主翼(型紙出力)'!I81</f>
        <v>105.85622580645162</v>
      </c>
      <c r="M78">
        <f>'主翼(型紙出力)'!M81</f>
        <v>24.046113500296286</v>
      </c>
      <c r="N78" t="str">
        <f>主翼翼型1!$C$3</f>
        <v>QX0026 root.dat</v>
      </c>
      <c r="O78" cm="1">
        <f t="array" ref="O78">_xlfn.LET(
  _xlpm.y,$E78,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0.12692414795937335</v>
      </c>
      <c r="P78" t="str">
        <f>主翼翼型2!$C$3</f>
        <v>QX0226.dat</v>
      </c>
      <c r="Q78" cm="1">
        <f t="array" ref="Q78">_xlfn.LET(
  _xlpm.y,$E78,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0.87307585204062665</v>
      </c>
      <c r="R78" t="str">
        <f>主翼翼型3!$C$3</f>
        <v>QX0126.dat</v>
      </c>
      <c r="S78" cm="1">
        <f t="array" ref="S78">_xlfn.LET(
  _xlpm.y,$E78,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8" t="str">
        <f>主翼翼型4!$C$3</f>
        <v>QX0026 v32.dat</v>
      </c>
      <c r="U78" cm="1">
        <f t="array" ref="U78">_xlfn.LET(
  _xlpm.y,$E78,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8" t="str">
        <f>主翼翼型5!$C$3</f>
        <v>QX0026 v32.dat</v>
      </c>
      <c r="W78" cm="1">
        <f t="array" ref="W78">_xlfn.LET(
  _xlpm.y,$E78,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8" s="233">
        <f t="shared" si="30"/>
        <v>8.1515502350022459E-2</v>
      </c>
      <c r="Y78" s="233">
        <f t="shared" si="0"/>
        <v>1.3992280895134082E-3</v>
      </c>
      <c r="Z78" s="233">
        <f t="shared" si="31"/>
        <v>8.3999999999999995E-5</v>
      </c>
      <c r="AA78" s="233">
        <f t="shared" si="1"/>
        <v>4.3708450889479644E-4</v>
      </c>
      <c r="AB78" s="233">
        <f t="shared" si="32"/>
        <v>2.0000000000000002E-5</v>
      </c>
      <c r="AC78" s="233">
        <f t="shared" si="33"/>
        <v>5.7060851645015717E-4</v>
      </c>
      <c r="AD78">
        <f t="shared" si="2"/>
        <v>2.0988421342701122E-4</v>
      </c>
      <c r="AE78">
        <f t="shared" si="3"/>
        <v>1.26E-5</v>
      </c>
      <c r="AF78">
        <f t="shared" si="34"/>
        <v>3.059591562263575E-6</v>
      </c>
      <c r="AG78">
        <f t="shared" si="35"/>
        <v>3.0000000000000001E-6</v>
      </c>
      <c r="AH78" t="str">
        <f t="shared" si="36"/>
        <v/>
      </c>
      <c r="AI78" t="str">
        <f t="shared" si="4"/>
        <v/>
      </c>
      <c r="AJ78" t="str">
        <f t="shared" si="37"/>
        <v/>
      </c>
      <c r="AK78" t="str">
        <f t="shared" si="38"/>
        <v/>
      </c>
      <c r="AL78" t="str">
        <f t="shared" si="5"/>
        <v/>
      </c>
      <c r="AM78" t="str">
        <f t="shared" si="39"/>
        <v/>
      </c>
      <c r="AN78" t="str">
        <f t="shared" si="6"/>
        <v/>
      </c>
      <c r="AO78" s="146"/>
      <c r="AP78">
        <f t="shared" si="7"/>
        <v>1.5406429944154244E-2</v>
      </c>
      <c r="AQ78">
        <f t="shared" si="8"/>
        <v>1.7840158141295952E-2</v>
      </c>
      <c r="AR78">
        <f t="shared" si="9"/>
        <v>1.5603916967544232E-3</v>
      </c>
      <c r="AS78">
        <f t="shared" si="10"/>
        <v>4.5893873433953628E-3</v>
      </c>
      <c r="AT78">
        <f t="shared" si="11"/>
        <v>4.5000000000000005E-3</v>
      </c>
      <c r="AU78">
        <f t="shared" si="12"/>
        <v>1.7822538222264119E-2</v>
      </c>
      <c r="AV78">
        <f t="shared" si="40"/>
        <v>0</v>
      </c>
      <c r="AW78" s="146"/>
      <c r="AX78" t="str">
        <f t="shared" si="13"/>
        <v/>
      </c>
      <c r="AY78" t="str">
        <f t="shared" si="14"/>
        <v/>
      </c>
      <c r="AZ78" t="str">
        <f t="shared" si="15"/>
        <v/>
      </c>
      <c r="BA78" t="str">
        <f t="shared" si="16"/>
        <v/>
      </c>
      <c r="BB78" t="str">
        <f t="shared" si="17"/>
        <v/>
      </c>
      <c r="BC78" t="str">
        <f t="shared" si="18"/>
        <v/>
      </c>
      <c r="BD78" t="str">
        <f t="shared" si="41"/>
        <v/>
      </c>
      <c r="BE78" s="146"/>
      <c r="BF78" t="str">
        <f t="shared" si="19"/>
        <v/>
      </c>
      <c r="BG78" t="str">
        <f t="shared" si="20"/>
        <v/>
      </c>
      <c r="BH78" t="str">
        <f t="shared" si="21"/>
        <v/>
      </c>
      <c r="BI78" t="str">
        <f t="shared" si="22"/>
        <v/>
      </c>
      <c r="BJ78" t="str">
        <f t="shared" si="23"/>
        <v/>
      </c>
      <c r="BK78" t="str">
        <f t="shared" si="24"/>
        <v/>
      </c>
      <c r="BL78" t="str">
        <f t="shared" si="42"/>
        <v/>
      </c>
      <c r="BM78" s="146"/>
      <c r="BN78" t="str">
        <f t="shared" si="43"/>
        <v/>
      </c>
      <c r="BO78" t="str">
        <f t="shared" si="44"/>
        <v/>
      </c>
      <c r="BP78" t="str">
        <f t="shared" si="25"/>
        <v/>
      </c>
      <c r="BQ78" t="str">
        <f t="shared" si="26"/>
        <v/>
      </c>
      <c r="BR78" t="str">
        <f t="shared" si="27"/>
        <v/>
      </c>
      <c r="BS78" t="str">
        <f t="shared" si="28"/>
        <v/>
      </c>
      <c r="BT78" t="str">
        <f t="shared" si="29"/>
        <v/>
      </c>
      <c r="BU78" t="str">
        <f t="shared" si="45"/>
        <v/>
      </c>
      <c r="BV78" t="str">
        <f t="shared" si="46"/>
        <v/>
      </c>
      <c r="BW78">
        <f>'主翼(桁)'!BG75</f>
        <v>0.13963814574962705</v>
      </c>
      <c r="BX78">
        <f t="shared" si="47"/>
        <v>6.1718905347864103E-2</v>
      </c>
      <c r="BY78">
        <f t="shared" si="48"/>
        <v>0.20135705109749114</v>
      </c>
      <c r="CA78">
        <f t="shared" si="49"/>
        <v>20.470292531447324</v>
      </c>
      <c r="CB78">
        <f t="shared" si="50"/>
        <v>1.1222796723027284E-2</v>
      </c>
      <c r="CC78">
        <f t="shared" si="51"/>
        <v>20.459069734724295</v>
      </c>
      <c r="CE78" s="49">
        <f>BY78*パラメーター!$D$5</f>
        <v>1.9726950296021208</v>
      </c>
    </row>
    <row r="79" spans="4:83">
      <c r="D79">
        <f>'主翼(型紙出力)'!B82</f>
        <v>31</v>
      </c>
      <c r="E79">
        <f>'主翼(型紙出力)'!AP82</f>
        <v>4.6729900267984998</v>
      </c>
      <c r="F79">
        <f>'主翼(型紙出力)'!AQ82</f>
        <v>0.122342220175278</v>
      </c>
      <c r="G79">
        <f>'主翼(型紙出力)'!E82</f>
        <v>0.17499999999999999</v>
      </c>
      <c r="H79">
        <f>'主翼(型紙出力)'!D82/1000</f>
        <v>0.91172815533980589</v>
      </c>
      <c r="I79" t="str">
        <f>'主翼(型紙出力)'!H82</f>
        <v>full</v>
      </c>
      <c r="J79" t="str">
        <f>'主翼(型紙出力)'!G82</f>
        <v>1番</v>
      </c>
      <c r="K79">
        <f>'主翼(型紙出力)'!L82</f>
        <v>127.92686123537104</v>
      </c>
      <c r="L79">
        <f>'主翼(型紙出力)'!I82</f>
        <v>104.24996774193549</v>
      </c>
      <c r="M79">
        <f>'主翼(型紙出力)'!M82</f>
        <v>23.676893493435543</v>
      </c>
      <c r="N79" t="str">
        <f>主翼翼型1!$C$3</f>
        <v>QX0026 root.dat</v>
      </c>
      <c r="O79" cm="1">
        <f t="array" ref="O79">_xlfn.LET(
  _xlpm.y,$E79,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6.8741737165631034E-2</v>
      </c>
      <c r="P79" t="str">
        <f>主翼翼型2!$C$3</f>
        <v>QX0226.dat</v>
      </c>
      <c r="Q79" cm="1">
        <f t="array" ref="Q79">_xlfn.LET(
  _xlpm.y,$E79,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0.93125826283436897</v>
      </c>
      <c r="R79" t="str">
        <f>主翼翼型3!$C$3</f>
        <v>QX0126.dat</v>
      </c>
      <c r="S79" cm="1">
        <f t="array" ref="S79">_xlfn.LET(
  _xlpm.y,$E79,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9" t="str">
        <f>主翼翼型4!$C$3</f>
        <v>QX0026 v32.dat</v>
      </c>
      <c r="U79" cm="1">
        <f t="array" ref="U79">_xlfn.LET(
  _xlpm.y,$E79,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9" t="str">
        <f>主翼翼型5!$C$3</f>
        <v>QX0026 v32.dat</v>
      </c>
      <c r="W79" cm="1">
        <f t="array" ref="W79">_xlfn.LET(
  _xlpm.y,$E79,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9" s="233">
        <f t="shared" si="30"/>
        <v>7.9283511865103115E-2</v>
      </c>
      <c r="Y79" s="233">
        <f t="shared" si="0"/>
        <v>1.3815349928557948E-3</v>
      </c>
      <c r="Z79" s="233">
        <f t="shared" si="31"/>
        <v>8.3999999999999995E-5</v>
      </c>
      <c r="AA79" s="233">
        <f t="shared" si="1"/>
        <v>4.3146796312139237E-4</v>
      </c>
      <c r="AB79" s="233">
        <f t="shared" si="32"/>
        <v>2.0000000000000002E-5</v>
      </c>
      <c r="AC79" s="233">
        <f t="shared" si="33"/>
        <v>5.5498458305572177E-4</v>
      </c>
      <c r="AD79">
        <f t="shared" si="2"/>
        <v>2.4176862374976406E-4</v>
      </c>
      <c r="AE79">
        <f t="shared" si="3"/>
        <v>1.4699999999999998E-5</v>
      </c>
      <c r="AF79">
        <f t="shared" si="34"/>
        <v>3.0202757418497465E-6</v>
      </c>
      <c r="AG79">
        <f t="shared" si="35"/>
        <v>3.4999999999999999E-6</v>
      </c>
      <c r="AH79" t="str">
        <f t="shared" si="36"/>
        <v/>
      </c>
      <c r="AI79" t="str">
        <f t="shared" si="4"/>
        <v/>
      </c>
      <c r="AJ79" t="str">
        <f t="shared" si="37"/>
        <v/>
      </c>
      <c r="AK79" t="str">
        <f t="shared" si="38"/>
        <v/>
      </c>
      <c r="AL79" t="str">
        <f t="shared" si="5"/>
        <v/>
      </c>
      <c r="AM79" t="str">
        <f t="shared" si="39"/>
        <v/>
      </c>
      <c r="AN79" t="str">
        <f t="shared" si="6"/>
        <v/>
      </c>
      <c r="AO79" s="146"/>
      <c r="AP79">
        <f t="shared" si="7"/>
        <v>1.4984583742504488E-2</v>
      </c>
      <c r="AQ79">
        <f t="shared" si="8"/>
        <v>2.0550333018729945E-2</v>
      </c>
      <c r="AR79">
        <f t="shared" si="9"/>
        <v>1.5403406283433707E-3</v>
      </c>
      <c r="AS79">
        <f t="shared" si="10"/>
        <v>4.5304136127746197E-3</v>
      </c>
      <c r="AT79">
        <f t="shared" si="11"/>
        <v>5.2500000000000003E-3</v>
      </c>
      <c r="AU79">
        <f t="shared" si="12"/>
        <v>1.8322322884343482E-2</v>
      </c>
      <c r="AV79">
        <f t="shared" si="40"/>
        <v>0</v>
      </c>
      <c r="AW79" s="146"/>
      <c r="AX79" t="str">
        <f t="shared" si="13"/>
        <v/>
      </c>
      <c r="AY79" t="str">
        <f t="shared" si="14"/>
        <v/>
      </c>
      <c r="AZ79" t="str">
        <f t="shared" si="15"/>
        <v/>
      </c>
      <c r="BA79" t="str">
        <f t="shared" si="16"/>
        <v/>
      </c>
      <c r="BB79" t="str">
        <f t="shared" si="17"/>
        <v/>
      </c>
      <c r="BC79" t="str">
        <f t="shared" si="18"/>
        <v/>
      </c>
      <c r="BD79" t="str">
        <f t="shared" si="41"/>
        <v/>
      </c>
      <c r="BE79" s="146"/>
      <c r="BF79" t="str">
        <f t="shared" si="19"/>
        <v/>
      </c>
      <c r="BG79" t="str">
        <f t="shared" si="20"/>
        <v/>
      </c>
      <c r="BH79" t="str">
        <f t="shared" si="21"/>
        <v/>
      </c>
      <c r="BI79" t="str">
        <f t="shared" si="22"/>
        <v/>
      </c>
      <c r="BJ79" t="str">
        <f t="shared" si="23"/>
        <v/>
      </c>
      <c r="BK79" t="str">
        <f t="shared" si="24"/>
        <v/>
      </c>
      <c r="BL79" t="str">
        <f t="shared" si="42"/>
        <v/>
      </c>
      <c r="BM79" s="146"/>
      <c r="BN79">
        <f t="shared" si="43"/>
        <v>0.1</v>
      </c>
      <c r="BO79" t="str">
        <f t="shared" si="44"/>
        <v/>
      </c>
      <c r="BP79" t="str">
        <f t="shared" si="25"/>
        <v/>
      </c>
      <c r="BQ79" t="str">
        <f t="shared" si="26"/>
        <v/>
      </c>
      <c r="BR79" t="str">
        <f t="shared" si="27"/>
        <v/>
      </c>
      <c r="BS79" t="str">
        <f t="shared" si="28"/>
        <v/>
      </c>
      <c r="BT79" t="str">
        <f t="shared" si="29"/>
        <v/>
      </c>
      <c r="BU79" t="str">
        <f t="shared" si="45"/>
        <v/>
      </c>
      <c r="BV79" t="str">
        <f t="shared" si="46"/>
        <v/>
      </c>
      <c r="BW79">
        <f>'主翼(桁)'!BG76</f>
        <v>0.16015471044481375</v>
      </c>
      <c r="BX79">
        <f t="shared" si="47"/>
        <v>0.16517799388669591</v>
      </c>
      <c r="BY79">
        <f t="shared" si="48"/>
        <v>0.32533270433150963</v>
      </c>
      <c r="CA79">
        <f t="shared" si="49"/>
        <v>21.846554887599805</v>
      </c>
      <c r="CB79">
        <f t="shared" si="50"/>
        <v>9.7190970415624179E-3</v>
      </c>
      <c r="CC79">
        <f t="shared" si="51"/>
        <v>21.836835790558244</v>
      </c>
      <c r="CE79" s="49">
        <f>BY79*パラメーター!$D$5</f>
        <v>3.1872845043357998</v>
      </c>
    </row>
    <row r="80" spans="4:83">
      <c r="D80">
        <f>'主翼(型紙出力)'!B83</f>
        <v>32</v>
      </c>
      <c r="E80">
        <f>'主翼(型紙出力)'!AP83</f>
        <v>4.8477645840070345</v>
      </c>
      <c r="F80">
        <f>'主翼(型紙出力)'!AQ83</f>
        <v>0.13122220624286418</v>
      </c>
      <c r="G80">
        <f>'主翼(型紙出力)'!E83</f>
        <v>0.2</v>
      </c>
      <c r="H80">
        <f>'主翼(型紙出力)'!D83/1000</f>
        <v>0.89800000000000002</v>
      </c>
      <c r="I80" t="str">
        <f>'主翼(型紙出力)'!H83</f>
        <v>full</v>
      </c>
      <c r="J80" t="str">
        <f>'主翼(型紙出力)'!G83</f>
        <v>端リブ</v>
      </c>
      <c r="K80">
        <f>'主翼(型紙出力)'!L83</f>
        <v>125.63258595087018</v>
      </c>
      <c r="L80">
        <f>'主翼(型紙出力)'!I83</f>
        <v>102.376</v>
      </c>
      <c r="M80">
        <f>'主翼(型紙出力)'!M83</f>
        <v>23.256585950870175</v>
      </c>
      <c r="N80" t="str">
        <f>主翼翼型1!$C$3</f>
        <v>QX0026 root.dat</v>
      </c>
      <c r="O80" cm="1">
        <f t="array" ref="O80">_xlfn.LET(
  _xlpm.y,$E80,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8.6812271571468091E-4</v>
      </c>
      <c r="P80" t="str">
        <f>主翼翼型2!$C$3</f>
        <v>QX0226.dat</v>
      </c>
      <c r="Q80" cm="1">
        <f t="array" ref="Q80">_xlfn.LET(
  _xlpm.y,$E80,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0.99913187728428532</v>
      </c>
      <c r="R80" t="str">
        <f>主翼翼型3!$C$3</f>
        <v>QX0126.dat</v>
      </c>
      <c r="S80" cm="1">
        <f t="array" ref="S80">_xlfn.LET(
  _xlpm.y,$E80,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0" t="str">
        <f>主翼翼型4!$C$3</f>
        <v>QX0026 v32.dat</v>
      </c>
      <c r="U80" cm="1">
        <f t="array" ref="U80">_xlfn.LET(
  _xlpm.y,$E80,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0" t="str">
        <f>主翼翼型5!$C$3</f>
        <v>QX0026 v32.dat</v>
      </c>
      <c r="W80" cm="1">
        <f t="array" ref="W80">_xlfn.LET(
  _xlpm.y,$E80,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0" s="233">
        <f t="shared" si="30"/>
        <v>7.6723866581990305E-2</v>
      </c>
      <c r="Y80" s="233">
        <f t="shared" ref="Y80:Y111" si="52">($O80*$D$6+Q80*$D$10+S80*$D$14+U80*$D$18+W80*$D$22)*H80*D$27</f>
        <v>1.3608886098671795E-3</v>
      </c>
      <c r="Z80" s="233">
        <f t="shared" si="31"/>
        <v>8.3999999999999995E-5</v>
      </c>
      <c r="AA80" s="233">
        <f t="shared" ref="AA80:AA111" si="53">(O80*$D$7+Q80*$D$11+S80*$D$15+U80*$D$19+W80*$D$23)*H80*$D$30</f>
        <v>4.249168742833244E-4</v>
      </c>
      <c r="AB80" s="233">
        <f t="shared" si="32"/>
        <v>2.0000000000000002E-5</v>
      </c>
      <c r="AC80" s="233">
        <f t="shared" si="33"/>
        <v>5.3706706607393215E-4</v>
      </c>
      <c r="AD80">
        <f t="shared" ref="AD80:AD111" si="54">Y80*G80</f>
        <v>2.7217772197343592E-4</v>
      </c>
      <c r="AE80">
        <f t="shared" ref="AE80:AE111" si="55">Z80*G80</f>
        <v>1.6799999999999998E-5</v>
      </c>
      <c r="AF80">
        <f t="shared" si="34"/>
        <v>2.974418119983271E-6</v>
      </c>
      <c r="AG80">
        <f t="shared" si="35"/>
        <v>4.0000000000000007E-6</v>
      </c>
      <c r="AH80" t="str">
        <f t="shared" si="36"/>
        <v/>
      </c>
      <c r="AI80" t="str">
        <f t="shared" ref="AI80:AI111" si="56">IF(J80="0番",AD80*$S$6,"")</f>
        <v/>
      </c>
      <c r="AJ80" t="str">
        <f t="shared" si="37"/>
        <v/>
      </c>
      <c r="AK80" t="str">
        <f t="shared" si="38"/>
        <v/>
      </c>
      <c r="AL80" t="str">
        <f t="shared" ref="AL80:AL111" si="57">IF(J80="0番",AG80*$S$5,"")</f>
        <v/>
      </c>
      <c r="AM80" t="str">
        <f t="shared" si="39"/>
        <v/>
      </c>
      <c r="AN80" t="str">
        <f t="shared" ref="AN80:AN111" si="58">IF(J80="0番",$Y$6/($R$17*2),"")</f>
        <v/>
      </c>
      <c r="AO80" s="146"/>
      <c r="AP80" t="str">
        <f t="shared" ref="AP80:AP111" si="59">IF(J80="1番",$AC80*$S$4,"")</f>
        <v/>
      </c>
      <c r="AQ80" t="str">
        <f t="shared" ref="AQ80:AQ111" si="60">IF(J80="1番",AD80*$S$6,"")</f>
        <v/>
      </c>
      <c r="AR80" t="str">
        <f t="shared" ref="AR80:AR111" si="61">IF(J80="1番",AF80*$S$7,"")</f>
        <v/>
      </c>
      <c r="AS80" t="str">
        <f t="shared" ref="AS80:AS111" si="62">IF(J80="1番",AF80*$S$5,"")</f>
        <v/>
      </c>
      <c r="AT80" t="str">
        <f t="shared" ref="AT80:AT111" si="63">IF(J80="1番",AG80*$S$5,"")</f>
        <v/>
      </c>
      <c r="AU80" t="str">
        <f t="shared" ref="AU80:AU111" si="64">IF(J80="1番",$D$33*H80*H80+$D$34*H80+$D$35*G80,"")</f>
        <v/>
      </c>
      <c r="AV80" t="str">
        <f t="shared" si="40"/>
        <v/>
      </c>
      <c r="AW80" s="146"/>
      <c r="AX80" t="str">
        <f t="shared" ref="AX80:AX111" si="65">IF(J80="2番",$AC80*$S$4,"")</f>
        <v/>
      </c>
      <c r="AY80" t="str">
        <f t="shared" ref="AY80:AY111" si="66">IF(J80="2番",AD80*$S$6,"")</f>
        <v/>
      </c>
      <c r="AZ80" t="str">
        <f t="shared" ref="AZ80:AZ111" si="67">IF(J80="2番",AF80*$S$7,"")</f>
        <v/>
      </c>
      <c r="BA80" t="str">
        <f t="shared" ref="BA80:BA111" si="68">IF(J80="2番",AF80*$S$5,"")</f>
        <v/>
      </c>
      <c r="BB80" t="str">
        <f t="shared" ref="BB80:BB111" si="69">IF(J80="2番",AG80*$S$5,"")</f>
        <v/>
      </c>
      <c r="BC80" t="str">
        <f t="shared" ref="BC80:BC111" si="70">IF(J80="2番",$D$33*H80*H80+$D$34*H80+$D$35*G80,"")</f>
        <v/>
      </c>
      <c r="BD80" t="str">
        <f t="shared" si="41"/>
        <v/>
      </c>
      <c r="BE80" s="146"/>
      <c r="BF80" t="str">
        <f t="shared" ref="BF80:BF111" si="71">IF(J80="3番",$AC80*$S$4,"")</f>
        <v/>
      </c>
      <c r="BG80" t="str">
        <f t="shared" ref="BG80:BG111" si="72">IF(J80="3番",AD80*$S$6,"")</f>
        <v/>
      </c>
      <c r="BH80" t="str">
        <f t="shared" ref="BH80:BH111" si="73">IF(J80="3番",AF80*$S$7,"")</f>
        <v/>
      </c>
      <c r="BI80" t="str">
        <f t="shared" ref="BI80:BI111" si="74">IF(J80="3番",AF80*$S$5,"")</f>
        <v/>
      </c>
      <c r="BJ80" t="str">
        <f t="shared" ref="BJ80:BJ111" si="75">IF(J80="3番",AG80*$S$5,"")</f>
        <v/>
      </c>
      <c r="BK80" t="str">
        <f t="shared" ref="BK80:BK111" si="76">IF(J80="3番",$D$33*H80*H80+$D$34*H80+$D$35*G80,"")</f>
        <v/>
      </c>
      <c r="BL80" t="str">
        <f t="shared" si="42"/>
        <v/>
      </c>
      <c r="BM80" s="146"/>
      <c r="BN80" t="str">
        <f t="shared" si="43"/>
        <v/>
      </c>
      <c r="BO80">
        <f t="shared" si="44"/>
        <v>0.1</v>
      </c>
      <c r="BP80">
        <f t="shared" ref="BP80:BP111" si="77">IF(J80="端リブ",IF(J81="ウィングレット",X80*$D$26*2*$S$4,X80*$D$26*2*$S$4+(X80*$I$19)*$D$30*4*$S$5),"")</f>
        <v>0.22786988374851122</v>
      </c>
      <c r="BQ80">
        <f t="shared" ref="BQ80:BQ111" si="78">IF(J80="端リブ",AD80*$S$6,"")</f>
        <v>2.3135106367742055E-2</v>
      </c>
      <c r="BR80">
        <f t="shared" ref="BR80:BR111" si="79">IF(J80="端リブ",AF80*$S$7,"")</f>
        <v>1.5169532411914682E-3</v>
      </c>
      <c r="BS80">
        <f t="shared" ref="BS80:BS111" si="80">IF(J80="端リブ",AF80*$S$5,"")</f>
        <v>4.4616271799749066E-3</v>
      </c>
      <c r="BT80">
        <f t="shared" ref="BT80:BT111" si="81">IF(J80="端リブ",AG80*$S$5,"")</f>
        <v>6.000000000000001E-3</v>
      </c>
      <c r="BU80">
        <f t="shared" si="45"/>
        <v>1.8783029999999999E-2</v>
      </c>
      <c r="BV80" t="str">
        <f t="shared" si="46"/>
        <v/>
      </c>
      <c r="BW80">
        <f>'主翼(桁)'!BG77</f>
        <v>0.34140095413289478</v>
      </c>
      <c r="BX80">
        <f t="shared" si="47"/>
        <v>0.38176660053741962</v>
      </c>
      <c r="BY80">
        <f t="shared" si="48"/>
        <v>0.72316755467031446</v>
      </c>
      <c r="CA80">
        <f t="shared" si="49"/>
        <v>23.508868537753546</v>
      </c>
      <c r="CB80">
        <f t="shared" si="50"/>
        <v>8.0470758006515423E-3</v>
      </c>
      <c r="CC80">
        <f t="shared" si="51"/>
        <v>23.500821461952896</v>
      </c>
      <c r="CE80" s="49">
        <f>BY80*パラメーター!$D$5</f>
        <v>7.084872533105071</v>
      </c>
    </row>
    <row r="81" spans="4:83">
      <c r="D81">
        <f>'主翼(型紙出力)'!B84</f>
        <v>33</v>
      </c>
      <c r="E81">
        <f>'主翼(型紙出力)'!AP84</f>
        <v>5.0474869913569504</v>
      </c>
      <c r="F81">
        <f>'主翼(型紙出力)'!AQ84</f>
        <v>0.14175596162042614</v>
      </c>
      <c r="G81">
        <f>'主翼(型紙出力)'!E84</f>
        <v>0.15</v>
      </c>
      <c r="H81">
        <f>'主翼(型紙出力)'!D84/1000</f>
        <v>0.88665454545454547</v>
      </c>
      <c r="I81" t="str">
        <f>'主翼(型紙出力)'!H84</f>
        <v>full</v>
      </c>
      <c r="J81" t="str">
        <f>'主翼(型紙出力)'!G84</f>
        <v>2番</v>
      </c>
      <c r="K81">
        <f>'主翼(型紙出力)'!L84</f>
        <v>124.04532671553218</v>
      </c>
      <c r="L81">
        <f>'主翼(型紙出力)'!I84</f>
        <v>100.50800000000001</v>
      </c>
      <c r="M81">
        <f>'主翼(型紙出力)'!M84</f>
        <v>23.537326715532174</v>
      </c>
      <c r="N81" t="str">
        <f>主翼翼型1!$C$3</f>
        <v>QX0026 root.dat</v>
      </c>
      <c r="O81" cm="1">
        <f t="array" ref="O81">_xlfn.LET(
  _xlpm.y,$E81,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1" t="str">
        <f>主翼翼型2!$C$3</f>
        <v>QX0226.dat</v>
      </c>
      <c r="Q81" cm="1">
        <f t="array" ref="Q81">_xlfn.LET(
  _xlpm.y,$E81,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1" t="str">
        <f>主翼翼型3!$C$3</f>
        <v>QX0126.dat</v>
      </c>
      <c r="S81" cm="1">
        <f t="array" ref="S81">_xlfn.LET(
  _xlpm.y,$E81,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1" t="str">
        <f>主翼翼型4!$C$3</f>
        <v>QX0026 v32.dat</v>
      </c>
      <c r="U81" cm="1">
        <f t="array" ref="U81">_xlfn.LET(
  _xlpm.y,$E81,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1" t="str">
        <f>主翼翼型5!$C$3</f>
        <v>QX0026 v32.dat</v>
      </c>
      <c r="W81" cm="1">
        <f t="array" ref="W81">_xlfn.LET(
  _xlpm.y,$E81,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1" s="233">
        <f t="shared" si="30"/>
        <v>7.4795064230923927E-2</v>
      </c>
      <c r="Y81" s="233">
        <f t="shared" si="52"/>
        <v>1.3436969248825507E-3</v>
      </c>
      <c r="Z81" s="233">
        <f t="shared" si="31"/>
        <v>8.3999999999999995E-5</v>
      </c>
      <c r="AA81" s="233">
        <f t="shared" si="53"/>
        <v>4.1954773013132989E-4</v>
      </c>
      <c r="AB81" s="233">
        <f t="shared" si="32"/>
        <v>2.0000000000000002E-5</v>
      </c>
      <c r="AC81" s="233">
        <f t="shared" si="33"/>
        <v>5.2356544961646746E-4</v>
      </c>
      <c r="AD81">
        <f t="shared" si="54"/>
        <v>2.015545387323826E-4</v>
      </c>
      <c r="AE81">
        <f t="shared" si="55"/>
        <v>1.26E-5</v>
      </c>
      <c r="AF81">
        <f t="shared" si="34"/>
        <v>2.9368341109193093E-6</v>
      </c>
      <c r="AG81">
        <f t="shared" si="35"/>
        <v>3.0000000000000001E-6</v>
      </c>
      <c r="AH81" t="str">
        <f t="shared" ref="AH81:AH112" si="82">IF(J81="0番",$AC81*$S$4,"")</f>
        <v/>
      </c>
      <c r="AI81" t="str">
        <f t="shared" si="56"/>
        <v/>
      </c>
      <c r="AJ81" t="str">
        <f t="shared" ref="AJ81:AJ112" si="83">IF(J81="0番",AF81*$S$7,"")</f>
        <v/>
      </c>
      <c r="AK81" t="str">
        <f t="shared" ref="AK81:AK112" si="84">IF(J81="0番",AF81*$S$5,"")</f>
        <v/>
      </c>
      <c r="AL81" t="str">
        <f t="shared" si="57"/>
        <v/>
      </c>
      <c r="AM81" t="str">
        <f t="shared" ref="AM81:AM112" si="85">IF(J81="0番",$D$33*H81*H81+$D$34*H81+$D$35*G81,"")</f>
        <v/>
      </c>
      <c r="AN81" t="str">
        <f t="shared" si="58"/>
        <v/>
      </c>
      <c r="AO81" s="146"/>
      <c r="AP81" t="str">
        <f t="shared" si="59"/>
        <v/>
      </c>
      <c r="AQ81" t="str">
        <f t="shared" si="60"/>
        <v/>
      </c>
      <c r="AR81" t="str">
        <f t="shared" si="61"/>
        <v/>
      </c>
      <c r="AS81" t="str">
        <f t="shared" si="62"/>
        <v/>
      </c>
      <c r="AT81" t="str">
        <f t="shared" si="63"/>
        <v/>
      </c>
      <c r="AU81" t="str">
        <f t="shared" si="64"/>
        <v/>
      </c>
      <c r="AV81" t="str">
        <f t="shared" si="40"/>
        <v/>
      </c>
      <c r="AW81" s="146"/>
      <c r="AX81">
        <f t="shared" si="65"/>
        <v>1.4136267139644621E-2</v>
      </c>
      <c r="AY81">
        <f t="shared" si="66"/>
        <v>1.713213579225252E-2</v>
      </c>
      <c r="AZ81">
        <f t="shared" si="67"/>
        <v>1.4977853965688478E-3</v>
      </c>
      <c r="BA81">
        <f t="shared" si="68"/>
        <v>4.4052511663789642E-3</v>
      </c>
      <c r="BB81">
        <f t="shared" si="69"/>
        <v>4.5000000000000005E-3</v>
      </c>
      <c r="BC81">
        <f t="shared" si="70"/>
        <v>1.7046081213223142E-2</v>
      </c>
      <c r="BD81">
        <f t="shared" si="41"/>
        <v>6.0502306915579092E-3</v>
      </c>
      <c r="BE81" s="146"/>
      <c r="BF81" t="str">
        <f t="shared" si="71"/>
        <v/>
      </c>
      <c r="BG81" t="str">
        <f t="shared" si="72"/>
        <v/>
      </c>
      <c r="BH81" t="str">
        <f t="shared" si="73"/>
        <v/>
      </c>
      <c r="BI81" t="str">
        <f t="shared" si="74"/>
        <v/>
      </c>
      <c r="BJ81" t="str">
        <f t="shared" si="75"/>
        <v/>
      </c>
      <c r="BK81" t="str">
        <f t="shared" si="76"/>
        <v/>
      </c>
      <c r="BL81" t="str">
        <f t="shared" si="42"/>
        <v/>
      </c>
      <c r="BM81" s="146"/>
      <c r="BN81" t="str">
        <f t="shared" si="43"/>
        <v/>
      </c>
      <c r="BO81" t="str">
        <f t="shared" si="44"/>
        <v/>
      </c>
      <c r="BP81" t="str">
        <f t="shared" si="77"/>
        <v/>
      </c>
      <c r="BQ81" t="str">
        <f t="shared" si="78"/>
        <v/>
      </c>
      <c r="BR81" t="str">
        <f t="shared" si="79"/>
        <v/>
      </c>
      <c r="BS81" t="str">
        <f t="shared" si="80"/>
        <v/>
      </c>
      <c r="BT81" t="str">
        <f t="shared" si="81"/>
        <v/>
      </c>
      <c r="BU81" t="str">
        <f t="shared" si="45"/>
        <v/>
      </c>
      <c r="BV81" t="str">
        <f t="shared" si="46"/>
        <v/>
      </c>
      <c r="BW81">
        <f>'主翼(桁)'!BG78</f>
        <v>0.25274379117297668</v>
      </c>
      <c r="BX81">
        <f t="shared" si="47"/>
        <v>6.4767751399626011E-2</v>
      </c>
      <c r="BY81">
        <f t="shared" si="48"/>
        <v>0.31751154257260272</v>
      </c>
      <c r="CA81">
        <f t="shared" si="49"/>
        <v>25.483393092243759</v>
      </c>
      <c r="CB81">
        <f t="shared" si="50"/>
        <v>6.2681643261210934E-3</v>
      </c>
      <c r="CC81">
        <f t="shared" si="51"/>
        <v>25.477124927917639</v>
      </c>
      <c r="CE81" s="49">
        <f>BY81*パラメーター!$D$5</f>
        <v>3.110660582583789</v>
      </c>
    </row>
    <row r="82" spans="4:83">
      <c r="D82">
        <f>'主翼(型紙出力)'!B85</f>
        <v>34</v>
      </c>
      <c r="E82">
        <f>'主翼(型紙出力)'!AP85</f>
        <v>5.1972642599894936</v>
      </c>
      <c r="F82">
        <f>'主翼(型紙出力)'!AQ85</f>
        <v>0.14992724064974386</v>
      </c>
      <c r="G82">
        <f>'主翼(型紙出力)'!E85</f>
        <v>0.15</v>
      </c>
      <c r="H82">
        <f>'主翼(型紙出力)'!D85/1000</f>
        <v>0.87814545454545456</v>
      </c>
      <c r="I82" t="str">
        <f>'主翼(型紙出力)'!H85</f>
        <v>half</v>
      </c>
      <c r="J82" t="str">
        <f>'主翼(型紙出力)'!G85</f>
        <v>2番</v>
      </c>
      <c r="K82">
        <f>'主翼(型紙出力)'!L85</f>
        <v>122.85488228902869</v>
      </c>
      <c r="L82">
        <f>'主翼(型紙出力)'!I85</f>
        <v>99.143000000000015</v>
      </c>
      <c r="M82">
        <f>'主翼(型紙出力)'!M85</f>
        <v>23.711882289028679</v>
      </c>
      <c r="N82" t="str">
        <f>主翼翼型1!$C$3</f>
        <v>QX0026 root.dat</v>
      </c>
      <c r="O82" cm="1">
        <f t="array" ref="O82">_xlfn.LET(
  _xlpm.y,$E82,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2" t="str">
        <f>主翼翼型2!$C$3</f>
        <v>QX0226.dat</v>
      </c>
      <c r="Q82" cm="1">
        <f t="array" ref="Q82">_xlfn.LET(
  _xlpm.y,$E82,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2" t="str">
        <f>主翼翼型3!$C$3</f>
        <v>QX0126.dat</v>
      </c>
      <c r="S82" cm="1">
        <f t="array" ref="S82">_xlfn.LET(
  _xlpm.y,$E82,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2" t="str">
        <f>主翼翼型4!$C$3</f>
        <v>QX0026 v32.dat</v>
      </c>
      <c r="U82" cm="1">
        <f t="array" ref="U82">_xlfn.LET(
  _xlpm.y,$E82,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2" t="str">
        <f>主翼翼型5!$C$3</f>
        <v>QX0026 v32.dat</v>
      </c>
      <c r="W82" cm="1">
        <f t="array" ref="W82">_xlfn.LET(
  _xlpm.y,$E82,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2" s="233">
        <f t="shared" si="30"/>
        <v>4.9522292161420449E-2</v>
      </c>
      <c r="Y82" s="233">
        <f t="shared" si="52"/>
        <v>1.3308016666935454E-3</v>
      </c>
      <c r="Z82" s="233">
        <f t="shared" si="31"/>
        <v>8.3999999999999995E-5</v>
      </c>
      <c r="AA82" s="233">
        <f t="shared" si="53"/>
        <v>4.1552139338643667E-4</v>
      </c>
      <c r="AB82" s="233">
        <f t="shared" si="32"/>
        <v>2.0000000000000002E-5</v>
      </c>
      <c r="AC82" s="233">
        <f t="shared" si="33"/>
        <v>3.4665604512994317E-4</v>
      </c>
      <c r="AD82">
        <f t="shared" si="54"/>
        <v>1.9962025000403179E-4</v>
      </c>
      <c r="AE82">
        <f t="shared" si="55"/>
        <v>1.26E-5</v>
      </c>
      <c r="AF82">
        <f t="shared" si="34"/>
        <v>2.9086497537050566E-6</v>
      </c>
      <c r="AG82">
        <f t="shared" si="35"/>
        <v>3.0000000000000001E-6</v>
      </c>
      <c r="AH82" t="str">
        <f t="shared" si="82"/>
        <v/>
      </c>
      <c r="AI82" t="str">
        <f t="shared" si="56"/>
        <v/>
      </c>
      <c r="AJ82" t="str">
        <f t="shared" si="83"/>
        <v/>
      </c>
      <c r="AK82" t="str">
        <f t="shared" si="84"/>
        <v/>
      </c>
      <c r="AL82" t="str">
        <f t="shared" si="57"/>
        <v/>
      </c>
      <c r="AM82" t="str">
        <f t="shared" si="85"/>
        <v/>
      </c>
      <c r="AN82" t="str">
        <f t="shared" si="58"/>
        <v/>
      </c>
      <c r="AO82" s="146"/>
      <c r="AP82" t="str">
        <f t="shared" si="59"/>
        <v/>
      </c>
      <c r="AQ82" t="str">
        <f t="shared" si="60"/>
        <v/>
      </c>
      <c r="AR82" t="str">
        <f t="shared" si="61"/>
        <v/>
      </c>
      <c r="AS82" t="str">
        <f t="shared" si="62"/>
        <v/>
      </c>
      <c r="AT82" t="str">
        <f t="shared" si="63"/>
        <v/>
      </c>
      <c r="AU82" t="str">
        <f t="shared" si="64"/>
        <v/>
      </c>
      <c r="AV82" t="str">
        <f t="shared" si="40"/>
        <v/>
      </c>
      <c r="AW82" s="146"/>
      <c r="AX82">
        <f t="shared" si="65"/>
        <v>9.3597132185084652E-3</v>
      </c>
      <c r="AY82">
        <f t="shared" si="66"/>
        <v>1.6967721250342703E-2</v>
      </c>
      <c r="AZ82">
        <f t="shared" si="67"/>
        <v>1.4834113743895788E-3</v>
      </c>
      <c r="BA82">
        <f t="shared" si="68"/>
        <v>4.3629746305575848E-3</v>
      </c>
      <c r="BB82">
        <f t="shared" si="69"/>
        <v>4.5000000000000005E-3</v>
      </c>
      <c r="BC82">
        <f t="shared" si="70"/>
        <v>1.6869636704132232E-2</v>
      </c>
      <c r="BD82">
        <f t="shared" si="41"/>
        <v>6.0502306915579092E-3</v>
      </c>
      <c r="BE82" s="146"/>
      <c r="BF82" t="str">
        <f t="shared" si="71"/>
        <v/>
      </c>
      <c r="BG82" t="str">
        <f t="shared" si="72"/>
        <v/>
      </c>
      <c r="BH82" t="str">
        <f t="shared" si="73"/>
        <v/>
      </c>
      <c r="BI82" t="str">
        <f t="shared" si="74"/>
        <v/>
      </c>
      <c r="BJ82" t="str">
        <f t="shared" si="75"/>
        <v/>
      </c>
      <c r="BK82" t="str">
        <f t="shared" si="76"/>
        <v/>
      </c>
      <c r="BL82" t="str">
        <f t="shared" si="42"/>
        <v/>
      </c>
      <c r="BM82" s="146"/>
      <c r="BN82" t="str">
        <f t="shared" si="43"/>
        <v/>
      </c>
      <c r="BO82" t="str">
        <f t="shared" si="44"/>
        <v/>
      </c>
      <c r="BP82" t="str">
        <f t="shared" si="77"/>
        <v/>
      </c>
      <c r="BQ82" t="str">
        <f t="shared" si="78"/>
        <v/>
      </c>
      <c r="BR82" t="str">
        <f t="shared" si="79"/>
        <v/>
      </c>
      <c r="BS82" t="str">
        <f t="shared" si="80"/>
        <v/>
      </c>
      <c r="BT82" t="str">
        <f t="shared" si="81"/>
        <v/>
      </c>
      <c r="BU82" t="str">
        <f t="shared" si="45"/>
        <v/>
      </c>
      <c r="BV82" t="str">
        <f t="shared" si="46"/>
        <v/>
      </c>
      <c r="BW82">
        <f>'主翼(桁)'!BG79</f>
        <v>0.11780478093954158</v>
      </c>
      <c r="BX82">
        <f t="shared" si="47"/>
        <v>5.9593687869488474E-2</v>
      </c>
      <c r="BY82">
        <f t="shared" si="48"/>
        <v>0.17739846880903004</v>
      </c>
      <c r="CA82">
        <f t="shared" si="49"/>
        <v>27.016596853542815</v>
      </c>
      <c r="CB82">
        <f t="shared" si="50"/>
        <v>5.0410653786775875E-3</v>
      </c>
      <c r="CC82">
        <f t="shared" si="51"/>
        <v>27.011555788164138</v>
      </c>
      <c r="CE82" s="49">
        <f>BY82*パラメーター!$D$5</f>
        <v>1.7379727989220675</v>
      </c>
    </row>
    <row r="83" spans="4:83">
      <c r="D83">
        <f>'主翼(型紙出力)'!B86</f>
        <v>35</v>
      </c>
      <c r="E83">
        <f>'主翼(型紙出力)'!AP86</f>
        <v>5.3470276313553455</v>
      </c>
      <c r="F83">
        <f>'主翼(型紙出力)'!AQ86</f>
        <v>0.15834938984895663</v>
      </c>
      <c r="G83">
        <f>'主翼(型紙出力)'!E86</f>
        <v>0.15</v>
      </c>
      <c r="H83">
        <f>'主翼(型紙出力)'!D86/1000</f>
        <v>0.86963636363636354</v>
      </c>
      <c r="I83" t="str">
        <f>'主翼(型紙出力)'!H86</f>
        <v>full</v>
      </c>
      <c r="J83" t="str">
        <f>'主翼(型紙出力)'!G86</f>
        <v>2番</v>
      </c>
      <c r="K83">
        <f>'主翼(型紙出力)'!L86</f>
        <v>121.6644378625252</v>
      </c>
      <c r="L83">
        <f>'主翼(型紙出力)'!I86</f>
        <v>97.778000000000006</v>
      </c>
      <c r="M83">
        <f>'主翼(型紙出力)'!M86</f>
        <v>23.886437862525199</v>
      </c>
      <c r="N83" t="str">
        <f>主翼翼型1!$C$3</f>
        <v>QX0026 root.dat</v>
      </c>
      <c r="O83" cm="1">
        <f t="array" ref="O83">_xlfn.LET(
  _xlpm.y,$E83,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3" t="str">
        <f>主翼翼型2!$C$3</f>
        <v>QX0226.dat</v>
      </c>
      <c r="Q83" cm="1">
        <f t="array" ref="Q83">_xlfn.LET(
  _xlpm.y,$E83,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3" t="str">
        <f>主翼翼型3!$C$3</f>
        <v>QX0126.dat</v>
      </c>
      <c r="S83" cm="1">
        <f t="array" ref="S83">_xlfn.LET(
  _xlpm.y,$E83,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3" t="str">
        <f>主翼翼型4!$C$3</f>
        <v>QX0026 v32.dat</v>
      </c>
      <c r="U83" cm="1">
        <f t="array" ref="U83">_xlfn.LET(
  _xlpm.y,$E83,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3" t="str">
        <f>主翼翼型5!$C$3</f>
        <v>QX0026 v32.dat</v>
      </c>
      <c r="W83" cm="1">
        <f t="array" ref="W83">_xlfn.LET(
  _xlpm.y,$E83,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3" s="233">
        <f t="shared" si="30"/>
        <v>7.1951430465667807E-2</v>
      </c>
      <c r="Y83" s="233">
        <f t="shared" si="52"/>
        <v>1.3179064085045399E-3</v>
      </c>
      <c r="Z83" s="233">
        <f t="shared" si="31"/>
        <v>8.3999999999999995E-5</v>
      </c>
      <c r="AA83" s="233">
        <f t="shared" si="53"/>
        <v>4.114950566415434E-4</v>
      </c>
      <c r="AB83" s="233">
        <f t="shared" si="32"/>
        <v>2.0000000000000002E-5</v>
      </c>
      <c r="AC83" s="233">
        <f t="shared" si="33"/>
        <v>5.0366001325967468E-4</v>
      </c>
      <c r="AD83">
        <f t="shared" si="54"/>
        <v>1.9768596127568098E-4</v>
      </c>
      <c r="AE83">
        <f t="shared" si="55"/>
        <v>1.26E-5</v>
      </c>
      <c r="AF83">
        <f t="shared" si="34"/>
        <v>2.880465396490804E-6</v>
      </c>
      <c r="AG83">
        <f t="shared" si="35"/>
        <v>3.0000000000000001E-6</v>
      </c>
      <c r="AH83" t="str">
        <f t="shared" si="82"/>
        <v/>
      </c>
      <c r="AI83" t="str">
        <f t="shared" si="56"/>
        <v/>
      </c>
      <c r="AJ83" t="str">
        <f t="shared" si="83"/>
        <v/>
      </c>
      <c r="AK83" t="str">
        <f t="shared" si="84"/>
        <v/>
      </c>
      <c r="AL83" t="str">
        <f t="shared" si="57"/>
        <v/>
      </c>
      <c r="AM83" t="str">
        <f t="shared" si="85"/>
        <v/>
      </c>
      <c r="AN83" t="str">
        <f t="shared" si="58"/>
        <v/>
      </c>
      <c r="AO83" s="146"/>
      <c r="AP83" t="str">
        <f t="shared" si="59"/>
        <v/>
      </c>
      <c r="AQ83" t="str">
        <f t="shared" si="60"/>
        <v/>
      </c>
      <c r="AR83" t="str">
        <f t="shared" si="61"/>
        <v/>
      </c>
      <c r="AS83" t="str">
        <f t="shared" si="62"/>
        <v/>
      </c>
      <c r="AT83" t="str">
        <f t="shared" si="63"/>
        <v/>
      </c>
      <c r="AU83" t="str">
        <f t="shared" si="64"/>
        <v/>
      </c>
      <c r="AV83" t="str">
        <f t="shared" si="40"/>
        <v/>
      </c>
      <c r="AW83" s="146"/>
      <c r="AX83">
        <f t="shared" si="65"/>
        <v>1.3598820358011215E-2</v>
      </c>
      <c r="AY83">
        <f t="shared" si="66"/>
        <v>1.6803306708432882E-2</v>
      </c>
      <c r="AZ83">
        <f t="shared" si="67"/>
        <v>1.46903735221031E-3</v>
      </c>
      <c r="BA83">
        <f t="shared" si="68"/>
        <v>4.3206980947362063E-3</v>
      </c>
      <c r="BB83">
        <f t="shared" si="69"/>
        <v>4.5000000000000005E-3</v>
      </c>
      <c r="BC83">
        <f t="shared" si="70"/>
        <v>1.6694278264462809E-2</v>
      </c>
      <c r="BD83">
        <f t="shared" si="41"/>
        <v>6.0502306915579092E-3</v>
      </c>
      <c r="BE83" s="146"/>
      <c r="BF83" t="str">
        <f t="shared" si="71"/>
        <v/>
      </c>
      <c r="BG83" t="str">
        <f t="shared" si="72"/>
        <v/>
      </c>
      <c r="BH83" t="str">
        <f t="shared" si="73"/>
        <v/>
      </c>
      <c r="BI83" t="str">
        <f t="shared" si="74"/>
        <v/>
      </c>
      <c r="BJ83" t="str">
        <f t="shared" si="75"/>
        <v/>
      </c>
      <c r="BK83" t="str">
        <f t="shared" si="76"/>
        <v/>
      </c>
      <c r="BL83" t="str">
        <f t="shared" si="42"/>
        <v/>
      </c>
      <c r="BM83" s="146"/>
      <c r="BN83" t="str">
        <f t="shared" si="43"/>
        <v/>
      </c>
      <c r="BO83" t="str">
        <f t="shared" si="44"/>
        <v/>
      </c>
      <c r="BP83" t="str">
        <f t="shared" si="77"/>
        <v/>
      </c>
      <c r="BQ83" t="str">
        <f t="shared" si="78"/>
        <v/>
      </c>
      <c r="BR83" t="str">
        <f t="shared" si="79"/>
        <v/>
      </c>
      <c r="BS83" t="str">
        <f t="shared" si="80"/>
        <v/>
      </c>
      <c r="BT83" t="str">
        <f t="shared" si="81"/>
        <v/>
      </c>
      <c r="BU83" t="str">
        <f t="shared" si="45"/>
        <v/>
      </c>
      <c r="BV83" t="str">
        <f t="shared" si="46"/>
        <v/>
      </c>
      <c r="BW83">
        <f>'主翼(桁)'!BG80</f>
        <v>0.11613989940573342</v>
      </c>
      <c r="BX83">
        <f t="shared" si="47"/>
        <v>6.3436371469411335E-2</v>
      </c>
      <c r="BY83">
        <f t="shared" si="48"/>
        <v>0.17957627087514477</v>
      </c>
      <c r="CA83">
        <f t="shared" si="49"/>
        <v>28.594620535511766</v>
      </c>
      <c r="CB83">
        <f t="shared" si="50"/>
        <v>3.9160450342106135E-3</v>
      </c>
      <c r="CC83">
        <f t="shared" si="51"/>
        <v>28.590704490477556</v>
      </c>
      <c r="CE83" s="49">
        <f>BY83*パラメーター!$D$5</f>
        <v>1.7593087257637934</v>
      </c>
    </row>
    <row r="84" spans="4:83">
      <c r="D84">
        <f>'主翼(型紙出力)'!B87</f>
        <v>36</v>
      </c>
      <c r="E84">
        <f>'主翼(型紙出力)'!AP87</f>
        <v>5.4967761297187057</v>
      </c>
      <c r="F84">
        <f>'主翼(型紙出力)'!AQ87</f>
        <v>0.16703197229421729</v>
      </c>
      <c r="G84">
        <f>'主翼(型紙出力)'!E87</f>
        <v>0.15</v>
      </c>
      <c r="H84">
        <f>'主翼(型紙出力)'!D87/1000</f>
        <v>0.86112727272727263</v>
      </c>
      <c r="I84" t="str">
        <f>'主翼(型紙出力)'!H87</f>
        <v>half</v>
      </c>
      <c r="J84" t="str">
        <f>'主翼(型紙出力)'!G87</f>
        <v>2番</v>
      </c>
      <c r="K84">
        <f>'主翼(型紙出力)'!L87</f>
        <v>120.47399343602173</v>
      </c>
      <c r="L84">
        <f>'主翼(型紙出力)'!I87</f>
        <v>96.412999999999997</v>
      </c>
      <c r="M84">
        <f>'主翼(型紙出力)'!M87</f>
        <v>24.060993436021732</v>
      </c>
      <c r="N84" t="str">
        <f>主翼翼型1!$C$3</f>
        <v>QX0026 root.dat</v>
      </c>
      <c r="O84" cm="1">
        <f t="array" ref="O84">_xlfn.LET(
  _xlpm.y,$E84,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4" t="str">
        <f>主翼翼型2!$C$3</f>
        <v>QX0226.dat</v>
      </c>
      <c r="Q84" cm="1">
        <f t="array" ref="Q84">_xlfn.LET(
  _xlpm.y,$E84,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4" t="str">
        <f>主翼翼型3!$C$3</f>
        <v>QX0126.dat</v>
      </c>
      <c r="S84" cm="1">
        <f t="array" ref="S84">_xlfn.LET(
  _xlpm.y,$E84,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4" t="str">
        <f>主翼翼型4!$C$3</f>
        <v>QX0026 v32.dat</v>
      </c>
      <c r="U84" cm="1">
        <f t="array" ref="U84">_xlfn.LET(
  _xlpm.y,$E84,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4" t="str">
        <f>主翼翼型5!$C$3</f>
        <v>QX0026 v32.dat</v>
      </c>
      <c r="W84" cm="1">
        <f t="array" ref="W84">_xlfn.LET(
  _xlpm.y,$E84,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4" s="233">
        <f t="shared" si="30"/>
        <v>4.762143856458962E-2</v>
      </c>
      <c r="Y84" s="233">
        <f t="shared" si="52"/>
        <v>1.3050111503155343E-3</v>
      </c>
      <c r="Z84" s="233">
        <f t="shared" si="31"/>
        <v>8.3999999999999995E-5</v>
      </c>
      <c r="AA84" s="233">
        <f t="shared" si="53"/>
        <v>4.0746871989665018E-4</v>
      </c>
      <c r="AB84" s="233">
        <f t="shared" si="32"/>
        <v>2.0000000000000002E-5</v>
      </c>
      <c r="AC84" s="233">
        <f t="shared" si="33"/>
        <v>3.3335006995212737E-4</v>
      </c>
      <c r="AD84">
        <f t="shared" si="54"/>
        <v>1.9575167254733014E-4</v>
      </c>
      <c r="AE84">
        <f t="shared" si="55"/>
        <v>1.26E-5</v>
      </c>
      <c r="AF84">
        <f t="shared" si="34"/>
        <v>2.8522810392765513E-6</v>
      </c>
      <c r="AG84">
        <f t="shared" si="35"/>
        <v>3.0000000000000001E-6</v>
      </c>
      <c r="AH84" t="str">
        <f t="shared" si="82"/>
        <v/>
      </c>
      <c r="AI84" t="str">
        <f t="shared" si="56"/>
        <v/>
      </c>
      <c r="AJ84" t="str">
        <f t="shared" si="83"/>
        <v/>
      </c>
      <c r="AK84" t="str">
        <f t="shared" si="84"/>
        <v/>
      </c>
      <c r="AL84" t="str">
        <f t="shared" si="57"/>
        <v/>
      </c>
      <c r="AM84" t="str">
        <f t="shared" si="85"/>
        <v/>
      </c>
      <c r="AN84" t="str">
        <f t="shared" si="58"/>
        <v/>
      </c>
      <c r="AO84" s="146"/>
      <c r="AP84" t="str">
        <f t="shared" si="59"/>
        <v/>
      </c>
      <c r="AQ84" t="str">
        <f t="shared" si="60"/>
        <v/>
      </c>
      <c r="AR84" t="str">
        <f t="shared" si="61"/>
        <v/>
      </c>
      <c r="AS84" t="str">
        <f t="shared" si="62"/>
        <v/>
      </c>
      <c r="AT84" t="str">
        <f t="shared" si="63"/>
        <v/>
      </c>
      <c r="AU84" t="str">
        <f t="shared" si="64"/>
        <v/>
      </c>
      <c r="AV84" t="str">
        <f t="shared" si="40"/>
        <v/>
      </c>
      <c r="AW84" s="146"/>
      <c r="AX84">
        <f t="shared" si="65"/>
        <v>9.0004518887074388E-3</v>
      </c>
      <c r="AY84">
        <f t="shared" si="66"/>
        <v>1.6638892166523062E-2</v>
      </c>
      <c r="AZ84">
        <f t="shared" si="67"/>
        <v>1.4546633300310413E-3</v>
      </c>
      <c r="BA84">
        <f t="shared" si="68"/>
        <v>4.2784215589148269E-3</v>
      </c>
      <c r="BB84">
        <f t="shared" si="69"/>
        <v>4.5000000000000005E-3</v>
      </c>
      <c r="BC84">
        <f t="shared" si="70"/>
        <v>1.6520005894214873E-2</v>
      </c>
      <c r="BD84">
        <f t="shared" si="41"/>
        <v>6.0502306915579092E-3</v>
      </c>
      <c r="BE84" s="146"/>
      <c r="BF84" t="str">
        <f t="shared" si="71"/>
        <v/>
      </c>
      <c r="BG84" t="str">
        <f t="shared" si="72"/>
        <v/>
      </c>
      <c r="BH84" t="str">
        <f t="shared" si="73"/>
        <v/>
      </c>
      <c r="BI84" t="str">
        <f t="shared" si="74"/>
        <v/>
      </c>
      <c r="BJ84" t="str">
        <f t="shared" si="75"/>
        <v/>
      </c>
      <c r="BK84" t="str">
        <f t="shared" si="76"/>
        <v/>
      </c>
      <c r="BL84" t="str">
        <f t="shared" si="42"/>
        <v/>
      </c>
      <c r="BM84" s="146"/>
      <c r="BN84" t="str">
        <f t="shared" si="43"/>
        <v/>
      </c>
      <c r="BO84" t="str">
        <f t="shared" si="44"/>
        <v/>
      </c>
      <c r="BP84" t="str">
        <f t="shared" si="77"/>
        <v/>
      </c>
      <c r="BQ84" t="str">
        <f t="shared" si="78"/>
        <v/>
      </c>
      <c r="BR84" t="str">
        <f t="shared" si="79"/>
        <v/>
      </c>
      <c r="BS84" t="str">
        <f t="shared" si="80"/>
        <v/>
      </c>
      <c r="BT84" t="str">
        <f t="shared" si="81"/>
        <v/>
      </c>
      <c r="BU84" t="str">
        <f t="shared" si="45"/>
        <v/>
      </c>
      <c r="BV84" t="str">
        <f t="shared" si="46"/>
        <v/>
      </c>
      <c r="BW84">
        <f>'主翼(桁)'!BG81</f>
        <v>0.11447501787192542</v>
      </c>
      <c r="BX84">
        <f t="shared" si="47"/>
        <v>5.8442665529949159E-2</v>
      </c>
      <c r="BY84">
        <f t="shared" si="48"/>
        <v>0.17291768340187458</v>
      </c>
      <c r="CA84">
        <f t="shared" si="49"/>
        <v>30.217452569824708</v>
      </c>
      <c r="CB84">
        <f t="shared" si="50"/>
        <v>2.9047495793536483E-3</v>
      </c>
      <c r="CC84">
        <f t="shared" si="51"/>
        <v>30.214547820245354</v>
      </c>
      <c r="CE84" s="49">
        <f>BY84*パラメーター!$D$5</f>
        <v>1.6940745442881653</v>
      </c>
    </row>
    <row r="85" spans="4:83">
      <c r="D85">
        <f>'主翼(型紙出力)'!B88</f>
        <v>37</v>
      </c>
      <c r="E85">
        <f>'主翼(型紙出力)'!AP88</f>
        <v>5.6465094084344098</v>
      </c>
      <c r="F85">
        <f>'主翼(型紙出力)'!AQ88</f>
        <v>0.17597318278527324</v>
      </c>
      <c r="G85">
        <f>'主翼(型紙出力)'!E88</f>
        <v>0.15</v>
      </c>
      <c r="H85">
        <f>'主翼(型紙出力)'!D88/1000</f>
        <v>0.85261818181818172</v>
      </c>
      <c r="I85" t="str">
        <f>'主翼(型紙出力)'!H88</f>
        <v>full</v>
      </c>
      <c r="J85" t="str">
        <f>'主翼(型紙出力)'!G88</f>
        <v>2番</v>
      </c>
      <c r="K85">
        <f>'主翼(型紙出力)'!L88</f>
        <v>119.28354900951823</v>
      </c>
      <c r="L85">
        <f>'主翼(型紙出力)'!I88</f>
        <v>95.048000000000002</v>
      </c>
      <c r="M85">
        <f>'主翼(型紙出力)'!M88</f>
        <v>24.235549009518223</v>
      </c>
      <c r="N85" t="str">
        <f>主翼翼型1!$C$3</f>
        <v>QX0026 root.dat</v>
      </c>
      <c r="O85" cm="1">
        <f t="array" ref="O85">_xlfn.LET(
  _xlpm.y,$E85,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5" t="str">
        <f>主翼翼型2!$C$3</f>
        <v>QX0226.dat</v>
      </c>
      <c r="Q85" cm="1">
        <f t="array" ref="Q85">_xlfn.LET(
  _xlpm.y,$E85,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5" t="str">
        <f>主翼翼型3!$C$3</f>
        <v>QX0126.dat</v>
      </c>
      <c r="S85" cm="1">
        <f t="array" ref="S85">_xlfn.LET(
  _xlpm.y,$E85,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5" t="str">
        <f>主翼翼型4!$C$3</f>
        <v>QX0026 v32.dat</v>
      </c>
      <c r="U85" cm="1">
        <f t="array" ref="U85">_xlfn.LET(
  _xlpm.y,$E85,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5" t="str">
        <f>主翼翼型5!$C$3</f>
        <v>QX0026 v32.dat</v>
      </c>
      <c r="W85" cm="1">
        <f t="array" ref="W85">_xlfn.LET(
  _xlpm.y,$E85,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5" s="233">
        <f t="shared" si="30"/>
        <v>6.9162905425499271E-2</v>
      </c>
      <c r="Y85" s="233">
        <f t="shared" si="52"/>
        <v>1.2921158921265293E-3</v>
      </c>
      <c r="Z85" s="233">
        <f t="shared" si="31"/>
        <v>8.3999999999999995E-5</v>
      </c>
      <c r="AA85" s="233">
        <f t="shared" si="53"/>
        <v>4.0344238315175696E-4</v>
      </c>
      <c r="AB85" s="233">
        <f t="shared" si="32"/>
        <v>2.0000000000000002E-5</v>
      </c>
      <c r="AC85" s="233">
        <f t="shared" si="33"/>
        <v>4.8414033797849489E-4</v>
      </c>
      <c r="AD85">
        <f t="shared" si="54"/>
        <v>1.9381738381897938E-4</v>
      </c>
      <c r="AE85">
        <f t="shared" si="55"/>
        <v>1.26E-5</v>
      </c>
      <c r="AF85">
        <f t="shared" si="34"/>
        <v>2.8240966820622987E-6</v>
      </c>
      <c r="AG85">
        <f t="shared" si="35"/>
        <v>3.0000000000000001E-6</v>
      </c>
      <c r="AH85" t="str">
        <f t="shared" si="82"/>
        <v/>
      </c>
      <c r="AI85" t="str">
        <f t="shared" si="56"/>
        <v/>
      </c>
      <c r="AJ85" t="str">
        <f t="shared" si="83"/>
        <v/>
      </c>
      <c r="AK85" t="str">
        <f t="shared" si="84"/>
        <v/>
      </c>
      <c r="AL85" t="str">
        <f t="shared" si="57"/>
        <v/>
      </c>
      <c r="AM85" t="str">
        <f t="shared" si="85"/>
        <v/>
      </c>
      <c r="AN85" t="str">
        <f t="shared" si="58"/>
        <v/>
      </c>
      <c r="AO85" s="146"/>
      <c r="AP85" t="str">
        <f t="shared" si="59"/>
        <v/>
      </c>
      <c r="AQ85" t="str">
        <f t="shared" si="60"/>
        <v/>
      </c>
      <c r="AR85" t="str">
        <f t="shared" si="61"/>
        <v/>
      </c>
      <c r="AS85" t="str">
        <f t="shared" si="62"/>
        <v/>
      </c>
      <c r="AT85" t="str">
        <f t="shared" si="63"/>
        <v/>
      </c>
      <c r="AU85" t="str">
        <f t="shared" si="64"/>
        <v/>
      </c>
      <c r="AV85" t="str">
        <f t="shared" si="40"/>
        <v/>
      </c>
      <c r="AW85" s="146"/>
      <c r="AX85">
        <f t="shared" si="65"/>
        <v>1.3071789125419363E-2</v>
      </c>
      <c r="AY85">
        <f t="shared" si="66"/>
        <v>1.6474477624613248E-2</v>
      </c>
      <c r="AZ85">
        <f t="shared" si="67"/>
        <v>1.4402893078517723E-3</v>
      </c>
      <c r="BA85">
        <f t="shared" si="68"/>
        <v>4.2361450230934483E-3</v>
      </c>
      <c r="BB85">
        <f t="shared" si="69"/>
        <v>4.5000000000000005E-3</v>
      </c>
      <c r="BC85">
        <f t="shared" si="70"/>
        <v>1.6346819593388427E-2</v>
      </c>
      <c r="BD85">
        <f t="shared" si="41"/>
        <v>6.0502306915579092E-3</v>
      </c>
      <c r="BE85" s="146"/>
      <c r="BF85" t="str">
        <f t="shared" si="71"/>
        <v/>
      </c>
      <c r="BG85" t="str">
        <f t="shared" si="72"/>
        <v/>
      </c>
      <c r="BH85" t="str">
        <f t="shared" si="73"/>
        <v/>
      </c>
      <c r="BI85" t="str">
        <f t="shared" si="74"/>
        <v/>
      </c>
      <c r="BJ85" t="str">
        <f t="shared" si="75"/>
        <v/>
      </c>
      <c r="BK85" t="str">
        <f t="shared" si="76"/>
        <v/>
      </c>
      <c r="BL85" t="str">
        <f t="shared" si="42"/>
        <v/>
      </c>
      <c r="BM85" s="146"/>
      <c r="BN85" t="str">
        <f t="shared" si="43"/>
        <v/>
      </c>
      <c r="BO85" t="str">
        <f t="shared" si="44"/>
        <v/>
      </c>
      <c r="BP85" t="str">
        <f t="shared" si="77"/>
        <v/>
      </c>
      <c r="BQ85" t="str">
        <f t="shared" si="78"/>
        <v/>
      </c>
      <c r="BR85" t="str">
        <f t="shared" si="79"/>
        <v/>
      </c>
      <c r="BS85" t="str">
        <f t="shared" si="80"/>
        <v/>
      </c>
      <c r="BT85" t="str">
        <f t="shared" si="81"/>
        <v/>
      </c>
      <c r="BU85" t="str">
        <f t="shared" si="45"/>
        <v/>
      </c>
      <c r="BV85" t="str">
        <f t="shared" si="46"/>
        <v/>
      </c>
      <c r="BW85">
        <f>'主翼(桁)'!BG82</f>
        <v>0.11281013633811764</v>
      </c>
      <c r="BX85">
        <f t="shared" si="47"/>
        <v>6.2119751365924174E-2</v>
      </c>
      <c r="BY85">
        <f t="shared" si="48"/>
        <v>0.1749298877040418</v>
      </c>
      <c r="CA85">
        <f t="shared" si="49"/>
        <v>31.885089408251751</v>
      </c>
      <c r="CB85">
        <f t="shared" si="50"/>
        <v>2.0209087134452227E-3</v>
      </c>
      <c r="CC85">
        <f t="shared" si="51"/>
        <v>31.883068499538307</v>
      </c>
      <c r="CE85" s="49">
        <f>BY85*パラメーター!$D$5</f>
        <v>1.7137881098364975</v>
      </c>
    </row>
    <row r="86" spans="4:83">
      <c r="D86">
        <f>'主翼(型紙出力)'!B89</f>
        <v>38</v>
      </c>
      <c r="E86">
        <f>'主翼(型紙出力)'!AP89</f>
        <v>5.7962271340144431</v>
      </c>
      <c r="F86">
        <f>'主翼(型紙出力)'!AQ89</f>
        <v>0.18517115251461028</v>
      </c>
      <c r="G86">
        <f>'主翼(型紙出力)'!E89</f>
        <v>0.15</v>
      </c>
      <c r="H86">
        <f>'主翼(型紙出力)'!D89/1000</f>
        <v>0.84410909090909081</v>
      </c>
      <c r="I86" t="str">
        <f>'主翼(型紙出力)'!H89</f>
        <v>half</v>
      </c>
      <c r="J86" t="str">
        <f>'主翼(型紙出力)'!G89</f>
        <v>2番</v>
      </c>
      <c r="K86">
        <f>'主翼(型紙出力)'!L89</f>
        <v>118.09310458301475</v>
      </c>
      <c r="L86">
        <f>'主翼(型紙出力)'!I89</f>
        <v>93.682999999999993</v>
      </c>
      <c r="M86">
        <f>'主翼(型紙出力)'!M89</f>
        <v>24.410104583014757</v>
      </c>
      <c r="N86" t="str">
        <f>主翼翼型1!$C$3</f>
        <v>QX0026 root.dat</v>
      </c>
      <c r="O86" cm="1">
        <f t="array" ref="O86">_xlfn.LET(
  _xlpm.y,$E86,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6" t="str">
        <f>主翼翼型2!$C$3</f>
        <v>QX0226.dat</v>
      </c>
      <c r="Q86" cm="1">
        <f t="array" ref="Q86">_xlfn.LET(
  _xlpm.y,$E86,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6" t="str">
        <f>主翼翼型3!$C$3</f>
        <v>QX0126.dat</v>
      </c>
      <c r="S86" cm="1">
        <f t="array" ref="S86">_xlfn.LET(
  _xlpm.y,$E86,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6" t="str">
        <f>主翼翼型4!$C$3</f>
        <v>QX0026 v32.dat</v>
      </c>
      <c r="U86" cm="1">
        <f t="array" ref="U86">_xlfn.LET(
  _xlpm.y,$E86,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6" t="str">
        <f>主翼翼型5!$C$3</f>
        <v>QX0026 v32.dat</v>
      </c>
      <c r="W86" cm="1">
        <f t="array" ref="W86">_xlfn.LET(
  _xlpm.y,$E86,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6" s="233">
        <f t="shared" si="30"/>
        <v>4.5757783357192924E-2</v>
      </c>
      <c r="Y86" s="233">
        <f t="shared" si="52"/>
        <v>1.2792206339375238E-3</v>
      </c>
      <c r="Z86" s="233">
        <f t="shared" si="31"/>
        <v>8.3999999999999995E-5</v>
      </c>
      <c r="AA86" s="233">
        <f t="shared" si="53"/>
        <v>3.9941604640686374E-4</v>
      </c>
      <c r="AB86" s="233">
        <f t="shared" si="32"/>
        <v>2.0000000000000002E-5</v>
      </c>
      <c r="AC86" s="233">
        <f t="shared" si="33"/>
        <v>3.2030448350035048E-4</v>
      </c>
      <c r="AD86">
        <f t="shared" si="54"/>
        <v>1.9188309509062855E-4</v>
      </c>
      <c r="AE86">
        <f t="shared" si="55"/>
        <v>1.26E-5</v>
      </c>
      <c r="AF86">
        <f t="shared" si="34"/>
        <v>2.7959123248480464E-6</v>
      </c>
      <c r="AG86">
        <f t="shared" si="35"/>
        <v>3.0000000000000001E-6</v>
      </c>
      <c r="AH86" t="str">
        <f t="shared" si="82"/>
        <v/>
      </c>
      <c r="AI86" t="str">
        <f t="shared" si="56"/>
        <v/>
      </c>
      <c r="AJ86" t="str">
        <f t="shared" si="83"/>
        <v/>
      </c>
      <c r="AK86" t="str">
        <f t="shared" si="84"/>
        <v/>
      </c>
      <c r="AL86" t="str">
        <f t="shared" si="57"/>
        <v/>
      </c>
      <c r="AM86" t="str">
        <f t="shared" si="85"/>
        <v/>
      </c>
      <c r="AN86" t="str">
        <f t="shared" si="58"/>
        <v/>
      </c>
      <c r="AO86" s="146"/>
      <c r="AP86" t="str">
        <f t="shared" si="59"/>
        <v/>
      </c>
      <c r="AQ86" t="str">
        <f t="shared" si="60"/>
        <v/>
      </c>
      <c r="AR86" t="str">
        <f t="shared" si="61"/>
        <v/>
      </c>
      <c r="AS86" t="str">
        <f t="shared" si="62"/>
        <v/>
      </c>
      <c r="AT86" t="str">
        <f t="shared" si="63"/>
        <v/>
      </c>
      <c r="AU86" t="str">
        <f t="shared" si="64"/>
        <v/>
      </c>
      <c r="AV86" t="str">
        <f t="shared" si="40"/>
        <v/>
      </c>
      <c r="AW86" s="146"/>
      <c r="AX86">
        <f t="shared" si="65"/>
        <v>8.6482210545094623E-3</v>
      </c>
      <c r="AY86">
        <f t="shared" si="66"/>
        <v>1.6310063082703427E-2</v>
      </c>
      <c r="AZ86">
        <f t="shared" si="67"/>
        <v>1.4259152856725037E-3</v>
      </c>
      <c r="BA86">
        <f t="shared" si="68"/>
        <v>4.1938684872720698E-3</v>
      </c>
      <c r="BB86">
        <f t="shared" si="69"/>
        <v>4.5000000000000005E-3</v>
      </c>
      <c r="BC86">
        <f t="shared" si="70"/>
        <v>1.6174719361983468E-2</v>
      </c>
      <c r="BD86">
        <f t="shared" si="41"/>
        <v>6.0502306915579092E-3</v>
      </c>
      <c r="BE86" s="146"/>
      <c r="BF86" t="str">
        <f t="shared" si="71"/>
        <v/>
      </c>
      <c r="BG86" t="str">
        <f t="shared" si="72"/>
        <v/>
      </c>
      <c r="BH86" t="str">
        <f t="shared" si="73"/>
        <v/>
      </c>
      <c r="BI86" t="str">
        <f t="shared" si="74"/>
        <v/>
      </c>
      <c r="BJ86" t="str">
        <f t="shared" si="75"/>
        <v/>
      </c>
      <c r="BK86" t="str">
        <f t="shared" si="76"/>
        <v/>
      </c>
      <c r="BL86" t="str">
        <f t="shared" si="42"/>
        <v/>
      </c>
      <c r="BM86" s="146"/>
      <c r="BN86" t="str">
        <f t="shared" si="43"/>
        <v/>
      </c>
      <c r="BO86" t="str">
        <f t="shared" si="44"/>
        <v/>
      </c>
      <c r="BP86" t="str">
        <f t="shared" si="77"/>
        <v/>
      </c>
      <c r="BQ86" t="str">
        <f t="shared" si="78"/>
        <v/>
      </c>
      <c r="BR86" t="str">
        <f t="shared" si="79"/>
        <v/>
      </c>
      <c r="BS86" t="str">
        <f t="shared" si="80"/>
        <v/>
      </c>
      <c r="BT86" t="str">
        <f t="shared" si="81"/>
        <v/>
      </c>
      <c r="BU86" t="str">
        <f t="shared" si="45"/>
        <v/>
      </c>
      <c r="BV86" t="str">
        <f t="shared" si="46"/>
        <v/>
      </c>
      <c r="BW86">
        <f>'主翼(桁)'!BG83</f>
        <v>0.11114525480430963</v>
      </c>
      <c r="BX86">
        <f t="shared" si="47"/>
        <v>5.7303017963698848E-2</v>
      </c>
      <c r="BY86">
        <f t="shared" si="48"/>
        <v>0.16844827276800847</v>
      </c>
      <c r="CA86">
        <f t="shared" si="49"/>
        <v>33.597527519849265</v>
      </c>
      <c r="CB86">
        <f t="shared" si="50"/>
        <v>1.2785307639841862E-3</v>
      </c>
      <c r="CC86">
        <f t="shared" si="51"/>
        <v>33.596248989085282</v>
      </c>
      <c r="CE86" s="49">
        <f>BY86*パラメーター!$D$5</f>
        <v>1.6502877283081792</v>
      </c>
    </row>
    <row r="87" spans="4:83">
      <c r="D87">
        <f>'主翼(型紙出力)'!B90</f>
        <v>39</v>
      </c>
      <c r="E87">
        <f>'主翼(型紙出力)'!AP90</f>
        <v>5.94592898654754</v>
      </c>
      <c r="F87">
        <f>'主翼(型紙出力)'!AQ90</f>
        <v>0.19462394829993132</v>
      </c>
      <c r="G87">
        <f>'主翼(型紙出力)'!E90</f>
        <v>0.15</v>
      </c>
      <c r="H87">
        <f>'主翼(型紙出力)'!D90/1000</f>
        <v>0.8355999999999999</v>
      </c>
      <c r="I87" t="str">
        <f>'主翼(型紙出力)'!H90</f>
        <v>full</v>
      </c>
      <c r="J87" t="str">
        <f>'主翼(型紙出力)'!G90</f>
        <v>2番</v>
      </c>
      <c r="K87">
        <f>'主翼(型紙出力)'!L90</f>
        <v>116.90266015651125</v>
      </c>
      <c r="L87">
        <f>'主翼(型紙出力)'!I90</f>
        <v>92.317999999999998</v>
      </c>
      <c r="M87">
        <f>'主翼(型紙出力)'!M90</f>
        <v>24.584660156511248</v>
      </c>
      <c r="N87" t="str">
        <f>主翼翼型1!$C$3</f>
        <v>QX0026 root.dat</v>
      </c>
      <c r="O87" cm="1">
        <f t="array" ref="O87">_xlfn.LET(
  _xlpm.y,$E87,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7" t="str">
        <f>主翼翼型2!$C$3</f>
        <v>QX0226.dat</v>
      </c>
      <c r="Q87" cm="1">
        <f t="array" ref="Q87">_xlfn.LET(
  _xlpm.y,$E87,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7" t="str">
        <f>主翼翼型3!$C$3</f>
        <v>QX0126.dat</v>
      </c>
      <c r="S87" cm="1">
        <f t="array" ref="S87">_xlfn.LET(
  _xlpm.y,$E87,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7" t="str">
        <f>主翼翼型4!$C$3</f>
        <v>QX0026 v32.dat</v>
      </c>
      <c r="U87" cm="1">
        <f t="array" ref="U87">_xlfn.LET(
  _xlpm.y,$E87,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7" t="str">
        <f>主翼翼型5!$C$3</f>
        <v>QX0026 v32.dat</v>
      </c>
      <c r="W87" cm="1">
        <f t="array" ref="W87">_xlfn.LET(
  _xlpm.y,$E87,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7" s="233">
        <f t="shared" si="30"/>
        <v>6.6429489110418322E-2</v>
      </c>
      <c r="Y87" s="233">
        <f t="shared" si="52"/>
        <v>1.2663253757485187E-3</v>
      </c>
      <c r="Z87" s="233">
        <f t="shared" si="31"/>
        <v>8.3999999999999995E-5</v>
      </c>
      <c r="AA87" s="233">
        <f t="shared" si="53"/>
        <v>3.9538970966197052E-4</v>
      </c>
      <c r="AB87" s="233">
        <f t="shared" si="32"/>
        <v>2.0000000000000002E-5</v>
      </c>
      <c r="AC87" s="233">
        <f t="shared" si="33"/>
        <v>4.6500642377292827E-4</v>
      </c>
      <c r="AD87">
        <f t="shared" si="54"/>
        <v>1.8994880636227779E-4</v>
      </c>
      <c r="AE87">
        <f t="shared" si="55"/>
        <v>1.26E-5</v>
      </c>
      <c r="AF87">
        <f t="shared" si="34"/>
        <v>2.7677279676337938E-6</v>
      </c>
      <c r="AG87">
        <f t="shared" si="35"/>
        <v>3.0000000000000001E-6</v>
      </c>
      <c r="AH87" t="str">
        <f t="shared" si="82"/>
        <v/>
      </c>
      <c r="AI87" t="str">
        <f t="shared" si="56"/>
        <v/>
      </c>
      <c r="AJ87" t="str">
        <f t="shared" si="83"/>
        <v/>
      </c>
      <c r="AK87" t="str">
        <f t="shared" si="84"/>
        <v/>
      </c>
      <c r="AL87" t="str">
        <f t="shared" si="57"/>
        <v/>
      </c>
      <c r="AM87" t="str">
        <f t="shared" si="85"/>
        <v/>
      </c>
      <c r="AN87" t="str">
        <f t="shared" si="58"/>
        <v/>
      </c>
      <c r="AO87" s="146"/>
      <c r="AP87" t="str">
        <f t="shared" si="59"/>
        <v/>
      </c>
      <c r="AQ87" t="str">
        <f t="shared" si="60"/>
        <v/>
      </c>
      <c r="AR87" t="str">
        <f t="shared" si="61"/>
        <v/>
      </c>
      <c r="AS87" t="str">
        <f t="shared" si="62"/>
        <v/>
      </c>
      <c r="AT87" t="str">
        <f t="shared" si="63"/>
        <v/>
      </c>
      <c r="AU87" t="str">
        <f t="shared" si="64"/>
        <v/>
      </c>
      <c r="AV87" t="str">
        <f t="shared" si="40"/>
        <v/>
      </c>
      <c r="AW87" s="146"/>
      <c r="AX87">
        <f t="shared" si="65"/>
        <v>1.2555173441869063E-2</v>
      </c>
      <c r="AY87">
        <f t="shared" si="66"/>
        <v>1.6145648540793613E-2</v>
      </c>
      <c r="AZ87">
        <f t="shared" si="67"/>
        <v>1.4115412634932349E-3</v>
      </c>
      <c r="BA87">
        <f t="shared" si="68"/>
        <v>4.1515919514506904E-3</v>
      </c>
      <c r="BB87">
        <f t="shared" si="69"/>
        <v>4.5000000000000005E-3</v>
      </c>
      <c r="BC87">
        <f t="shared" si="70"/>
        <v>1.6003705199999999E-2</v>
      </c>
      <c r="BD87">
        <f t="shared" si="41"/>
        <v>6.0502306915579092E-3</v>
      </c>
      <c r="BE87" s="146"/>
      <c r="BF87" t="str">
        <f t="shared" si="71"/>
        <v/>
      </c>
      <c r="BG87" t="str">
        <f t="shared" si="72"/>
        <v/>
      </c>
      <c r="BH87" t="str">
        <f t="shared" si="73"/>
        <v/>
      </c>
      <c r="BI87" t="str">
        <f t="shared" si="74"/>
        <v/>
      </c>
      <c r="BJ87" t="str">
        <f t="shared" si="75"/>
        <v/>
      </c>
      <c r="BK87" t="str">
        <f t="shared" si="76"/>
        <v/>
      </c>
      <c r="BL87" t="str">
        <f t="shared" si="42"/>
        <v/>
      </c>
      <c r="BM87" s="146"/>
      <c r="BN87" t="str">
        <f t="shared" si="43"/>
        <v/>
      </c>
      <c r="BO87" t="str">
        <f t="shared" si="44"/>
        <v/>
      </c>
      <c r="BP87" t="str">
        <f t="shared" si="77"/>
        <v/>
      </c>
      <c r="BQ87" t="str">
        <f t="shared" si="78"/>
        <v/>
      </c>
      <c r="BR87" t="str">
        <f t="shared" si="79"/>
        <v/>
      </c>
      <c r="BS87" t="str">
        <f t="shared" si="80"/>
        <v/>
      </c>
      <c r="BT87" t="str">
        <f t="shared" si="81"/>
        <v/>
      </c>
      <c r="BU87" t="str">
        <f t="shared" si="45"/>
        <v/>
      </c>
      <c r="BV87" t="str">
        <f t="shared" si="46"/>
        <v/>
      </c>
      <c r="BW87">
        <f>'主翼(桁)'!BG84</f>
        <v>0.1094803732705015</v>
      </c>
      <c r="BX87">
        <f t="shared" si="47"/>
        <v>6.0817891089164508E-2</v>
      </c>
      <c r="BY87">
        <f t="shared" si="48"/>
        <v>0.170298264359666</v>
      </c>
      <c r="CA87">
        <f t="shared" si="49"/>
        <v>35.354763400475598</v>
      </c>
      <c r="CB87">
        <f t="shared" si="50"/>
        <v>6.9188740934033764E-4</v>
      </c>
      <c r="CC87">
        <f t="shared" si="51"/>
        <v>35.354071513066259</v>
      </c>
      <c r="CE87" s="49">
        <f>BY87*パラメーター!$D$5</f>
        <v>1.668412095931648</v>
      </c>
    </row>
    <row r="88" spans="4:83">
      <c r="D88">
        <f>'主翼(型紙出力)'!B91</f>
        <v>40</v>
      </c>
      <c r="E88">
        <f>'主翼(型紙出力)'!AP91</f>
        <v>6.0956146601042871</v>
      </c>
      <c r="F88">
        <f>'主翼(型紙出力)'!AQ91</f>
        <v>0.20432957202347732</v>
      </c>
      <c r="G88">
        <f>'主翼(型紙出力)'!E91</f>
        <v>0.15</v>
      </c>
      <c r="H88">
        <f>'主翼(型紙出力)'!D91/1000</f>
        <v>0.82709090909090888</v>
      </c>
      <c r="I88" t="str">
        <f>'主翼(型紙出力)'!H91</f>
        <v>half</v>
      </c>
      <c r="J88" t="str">
        <f>'主翼(型紙出力)'!G91</f>
        <v>2番</v>
      </c>
      <c r="K88">
        <f>'主翼(型紙出力)'!L91</f>
        <v>115.71221573000777</v>
      </c>
      <c r="L88">
        <f>'主翼(型紙出力)'!I91</f>
        <v>90.952999999999989</v>
      </c>
      <c r="M88">
        <f>'主翼(型紙出力)'!M91</f>
        <v>24.759215730007782</v>
      </c>
      <c r="N88" t="str">
        <f>主翼翼型1!$C$3</f>
        <v>QX0026 root.dat</v>
      </c>
      <c r="O88" cm="1">
        <f t="array" ref="O88">_xlfn.LET(
  _xlpm.y,$E88,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8" t="str">
        <f>主翼翼型2!$C$3</f>
        <v>QX0226.dat</v>
      </c>
      <c r="Q88" cm="1">
        <f t="array" ref="Q88">_xlfn.LET(
  _xlpm.y,$E88,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8" t="str">
        <f>主翼翼型3!$C$3</f>
        <v>QX0126.dat</v>
      </c>
      <c r="S88" cm="1">
        <f t="array" ref="S88">_xlfn.LET(
  _xlpm.y,$E88,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8" t="str">
        <f>主翼翼型4!$C$3</f>
        <v>QX0026 v32.dat</v>
      </c>
      <c r="U88" cm="1">
        <f t="array" ref="U88">_xlfn.LET(
  _xlpm.y,$E88,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8" t="str">
        <f>主翼翼型5!$C$3</f>
        <v>QX0026 v32.dat</v>
      </c>
      <c r="W88" cm="1">
        <f t="array" ref="W88">_xlfn.LET(
  _xlpm.y,$E88,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8" s="233">
        <f t="shared" si="30"/>
        <v>4.393132653923032E-2</v>
      </c>
      <c r="Y88" s="233">
        <f t="shared" si="52"/>
        <v>1.2534301175595129E-3</v>
      </c>
      <c r="Z88" s="233">
        <f t="shared" si="31"/>
        <v>8.3999999999999995E-5</v>
      </c>
      <c r="AA88" s="233">
        <f t="shared" si="53"/>
        <v>3.9136337291707725E-4</v>
      </c>
      <c r="AB88" s="233">
        <f t="shared" si="32"/>
        <v>2.0000000000000002E-5</v>
      </c>
      <c r="AC88" s="233">
        <f t="shared" si="33"/>
        <v>3.0751928577461222E-4</v>
      </c>
      <c r="AD88">
        <f t="shared" si="54"/>
        <v>1.8801451763392693E-4</v>
      </c>
      <c r="AE88">
        <f t="shared" si="55"/>
        <v>1.26E-5</v>
      </c>
      <c r="AF88">
        <f t="shared" si="34"/>
        <v>2.7395436104195407E-6</v>
      </c>
      <c r="AG88">
        <f t="shared" si="35"/>
        <v>3.0000000000000001E-6</v>
      </c>
      <c r="AH88" t="str">
        <f t="shared" si="82"/>
        <v/>
      </c>
      <c r="AI88" t="str">
        <f t="shared" si="56"/>
        <v/>
      </c>
      <c r="AJ88" t="str">
        <f t="shared" si="83"/>
        <v/>
      </c>
      <c r="AK88" t="str">
        <f t="shared" si="84"/>
        <v/>
      </c>
      <c r="AL88" t="str">
        <f t="shared" si="57"/>
        <v/>
      </c>
      <c r="AM88" t="str">
        <f t="shared" si="85"/>
        <v/>
      </c>
      <c r="AN88" t="str">
        <f t="shared" si="58"/>
        <v/>
      </c>
      <c r="AO88" s="146"/>
      <c r="AP88" t="str">
        <f t="shared" si="59"/>
        <v/>
      </c>
      <c r="AQ88" t="str">
        <f t="shared" si="60"/>
        <v/>
      </c>
      <c r="AR88" t="str">
        <f t="shared" si="61"/>
        <v/>
      </c>
      <c r="AS88" t="str">
        <f t="shared" si="62"/>
        <v/>
      </c>
      <c r="AT88" t="str">
        <f t="shared" si="63"/>
        <v/>
      </c>
      <c r="AU88" t="str">
        <f t="shared" si="64"/>
        <v/>
      </c>
      <c r="AV88" t="str">
        <f t="shared" si="40"/>
        <v/>
      </c>
      <c r="AW88" s="146"/>
      <c r="AX88">
        <f t="shared" si="65"/>
        <v>8.3030207159145303E-3</v>
      </c>
      <c r="AY88">
        <f t="shared" si="66"/>
        <v>1.5981233998883789E-2</v>
      </c>
      <c r="AZ88">
        <f t="shared" si="67"/>
        <v>1.3971672413139657E-3</v>
      </c>
      <c r="BA88">
        <f t="shared" si="68"/>
        <v>4.109315415629311E-3</v>
      </c>
      <c r="BB88">
        <f t="shared" si="69"/>
        <v>4.5000000000000005E-3</v>
      </c>
      <c r="BC88">
        <f t="shared" si="70"/>
        <v>1.583377710743801E-2</v>
      </c>
      <c r="BD88">
        <f t="shared" si="41"/>
        <v>6.0502306915579092E-3</v>
      </c>
      <c r="BE88" s="146"/>
      <c r="BF88" t="str">
        <f t="shared" si="71"/>
        <v/>
      </c>
      <c r="BG88" t="str">
        <f t="shared" si="72"/>
        <v/>
      </c>
      <c r="BH88" t="str">
        <f t="shared" si="73"/>
        <v/>
      </c>
      <c r="BI88" t="str">
        <f t="shared" si="74"/>
        <v/>
      </c>
      <c r="BJ88" t="str">
        <f t="shared" si="75"/>
        <v/>
      </c>
      <c r="BK88" t="str">
        <f t="shared" si="76"/>
        <v/>
      </c>
      <c r="BL88" t="str">
        <f t="shared" si="42"/>
        <v/>
      </c>
      <c r="BM88" s="146"/>
      <c r="BN88" t="str">
        <f t="shared" si="43"/>
        <v/>
      </c>
      <c r="BO88" t="str">
        <f t="shared" si="44"/>
        <v/>
      </c>
      <c r="BP88" t="str">
        <f t="shared" si="77"/>
        <v/>
      </c>
      <c r="BQ88" t="str">
        <f t="shared" si="78"/>
        <v/>
      </c>
      <c r="BR88" t="str">
        <f t="shared" si="79"/>
        <v/>
      </c>
      <c r="BS88" t="str">
        <f t="shared" si="80"/>
        <v/>
      </c>
      <c r="BT88" t="str">
        <f t="shared" si="81"/>
        <v/>
      </c>
      <c r="BU88" t="str">
        <f t="shared" si="45"/>
        <v/>
      </c>
      <c r="BV88" t="str">
        <f t="shared" si="46"/>
        <v/>
      </c>
      <c r="BW88">
        <f>'主翼(桁)'!BG85</f>
        <v>0.1078154917366935</v>
      </c>
      <c r="BX88">
        <f t="shared" si="47"/>
        <v>5.6174745170737519E-2</v>
      </c>
      <c r="BY88">
        <f t="shared" si="48"/>
        <v>0.16399023690743103</v>
      </c>
      <c r="CA88">
        <f t="shared" si="49"/>
        <v>37.156793582365864</v>
      </c>
      <c r="CB88">
        <f t="shared" si="50"/>
        <v>2.7549788756197198E-4</v>
      </c>
      <c r="CC88">
        <f t="shared" si="51"/>
        <v>37.1565180844783</v>
      </c>
      <c r="CE88" s="49">
        <f>BY88*パラメーター!$D$5</f>
        <v>1.606612350982102</v>
      </c>
    </row>
    <row r="89" spans="4:83">
      <c r="D89">
        <f>'主翼(型紙出力)'!B92</f>
        <v>41</v>
      </c>
      <c r="E89">
        <f>'主翼(型紙出力)'!AP92</f>
        <v>6.2452838631228804</v>
      </c>
      <c r="F89">
        <f>'主翼(型紙出力)'!AQ92</f>
        <v>0.21428596031337011</v>
      </c>
      <c r="G89">
        <f>'主翼(型紙出力)'!E92</f>
        <v>0.15</v>
      </c>
      <c r="H89">
        <f>'主翼(型紙出力)'!D92/1000</f>
        <v>0.81858181818181797</v>
      </c>
      <c r="I89" t="str">
        <f>'主翼(型紙出力)'!H92</f>
        <v>full</v>
      </c>
      <c r="J89" t="str">
        <f>'主翼(型紙出力)'!G92</f>
        <v>2番</v>
      </c>
      <c r="K89">
        <f>'主翼(型紙出力)'!L92</f>
        <v>114.52177130350425</v>
      </c>
      <c r="L89">
        <f>'主翼(型紙出力)'!I92</f>
        <v>89.58799999999998</v>
      </c>
      <c r="M89">
        <f>'主翼(型紙出力)'!M92</f>
        <v>24.933771303504273</v>
      </c>
      <c r="N89" t="str">
        <f>主翼翼型1!$C$3</f>
        <v>QX0026 root.dat</v>
      </c>
      <c r="O89" cm="1">
        <f t="array" ref="O89">_xlfn.LET(
  _xlpm.y,$E89,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9" t="str">
        <f>主翼翼型2!$C$3</f>
        <v>QX0226.dat</v>
      </c>
      <c r="Q89" cm="1">
        <f t="array" ref="Q89">_xlfn.LET(
  _xlpm.y,$E89,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9" t="str">
        <f>主翼翼型3!$C$3</f>
        <v>QX0126.dat</v>
      </c>
      <c r="S89" cm="1">
        <f t="array" ref="S89">_xlfn.LET(
  _xlpm.y,$E89,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9" t="str">
        <f>主翼翼型4!$C$3</f>
        <v>QX0026 v32.dat</v>
      </c>
      <c r="U89" cm="1">
        <f t="array" ref="U89">_xlfn.LET(
  _xlpm.y,$E89,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9" t="str">
        <f>主翼翼型5!$C$3</f>
        <v>QX0026 v32.dat</v>
      </c>
      <c r="W89" cm="1">
        <f t="array" ref="W89">_xlfn.LET(
  _xlpm.y,$E89,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9" s="233">
        <f t="shared" si="30"/>
        <v>6.3751181520424915E-2</v>
      </c>
      <c r="Y89" s="233">
        <f t="shared" si="52"/>
        <v>1.2405348593705076E-3</v>
      </c>
      <c r="Z89" s="233">
        <f t="shared" si="31"/>
        <v>8.3999999999999995E-5</v>
      </c>
      <c r="AA89" s="233">
        <f t="shared" si="53"/>
        <v>3.8733703617218403E-4</v>
      </c>
      <c r="AB89" s="233">
        <f t="shared" si="32"/>
        <v>2.0000000000000002E-5</v>
      </c>
      <c r="AC89" s="233">
        <f t="shared" si="33"/>
        <v>4.4625827064297444E-4</v>
      </c>
      <c r="AD89">
        <f t="shared" si="54"/>
        <v>1.8608022890557614E-4</v>
      </c>
      <c r="AE89">
        <f t="shared" si="55"/>
        <v>1.26E-5</v>
      </c>
      <c r="AF89">
        <f t="shared" si="34"/>
        <v>2.7113592532052885E-6</v>
      </c>
      <c r="AG89">
        <f t="shared" si="35"/>
        <v>3.0000000000000001E-6</v>
      </c>
      <c r="AH89" t="str">
        <f t="shared" si="82"/>
        <v/>
      </c>
      <c r="AI89" t="str">
        <f t="shared" si="56"/>
        <v/>
      </c>
      <c r="AJ89" t="str">
        <f t="shared" si="83"/>
        <v/>
      </c>
      <c r="AK89" t="str">
        <f t="shared" si="84"/>
        <v/>
      </c>
      <c r="AL89" t="str">
        <f t="shared" si="57"/>
        <v/>
      </c>
      <c r="AM89" t="str">
        <f t="shared" si="85"/>
        <v/>
      </c>
      <c r="AN89" t="str">
        <f t="shared" si="58"/>
        <v/>
      </c>
      <c r="AO89" s="146"/>
      <c r="AP89" t="str">
        <f t="shared" si="59"/>
        <v/>
      </c>
      <c r="AQ89" t="str">
        <f t="shared" si="60"/>
        <v/>
      </c>
      <c r="AR89" t="str">
        <f t="shared" si="61"/>
        <v/>
      </c>
      <c r="AS89" t="str">
        <f t="shared" si="62"/>
        <v/>
      </c>
      <c r="AT89" t="str">
        <f t="shared" si="63"/>
        <v/>
      </c>
      <c r="AU89" t="str">
        <f t="shared" si="64"/>
        <v/>
      </c>
      <c r="AV89" t="str">
        <f t="shared" si="40"/>
        <v/>
      </c>
      <c r="AW89" s="146"/>
      <c r="AX89">
        <f t="shared" si="65"/>
        <v>1.204897330736031E-2</v>
      </c>
      <c r="AY89">
        <f t="shared" si="66"/>
        <v>1.5816819456973972E-2</v>
      </c>
      <c r="AZ89">
        <f t="shared" si="67"/>
        <v>1.3827932191346971E-3</v>
      </c>
      <c r="BA89">
        <f t="shared" si="68"/>
        <v>4.0670388798079325E-3</v>
      </c>
      <c r="BB89">
        <f t="shared" si="69"/>
        <v>4.5000000000000005E-3</v>
      </c>
      <c r="BC89">
        <f t="shared" si="70"/>
        <v>1.5664935084297515E-2</v>
      </c>
      <c r="BD89">
        <f t="shared" si="41"/>
        <v>6.0502306915579092E-3</v>
      </c>
      <c r="BE89" s="146"/>
      <c r="BF89" t="str">
        <f t="shared" si="71"/>
        <v/>
      </c>
      <c r="BG89" t="str">
        <f t="shared" si="72"/>
        <v/>
      </c>
      <c r="BH89" t="str">
        <f t="shared" si="73"/>
        <v/>
      </c>
      <c r="BI89" t="str">
        <f t="shared" si="74"/>
        <v/>
      </c>
      <c r="BJ89" t="str">
        <f t="shared" si="75"/>
        <v/>
      </c>
      <c r="BK89" t="str">
        <f t="shared" si="76"/>
        <v/>
      </c>
      <c r="BL89" t="str">
        <f t="shared" si="42"/>
        <v/>
      </c>
      <c r="BM89" s="146"/>
      <c r="BN89" t="str">
        <f t="shared" si="43"/>
        <v/>
      </c>
      <c r="BO89" t="str">
        <f t="shared" si="44"/>
        <v/>
      </c>
      <c r="BP89" t="str">
        <f t="shared" si="77"/>
        <v/>
      </c>
      <c r="BQ89" t="str">
        <f t="shared" si="78"/>
        <v/>
      </c>
      <c r="BR89" t="str">
        <f t="shared" si="79"/>
        <v/>
      </c>
      <c r="BS89" t="str">
        <f t="shared" si="80"/>
        <v/>
      </c>
      <c r="BT89" t="str">
        <f t="shared" si="81"/>
        <v/>
      </c>
      <c r="BU89" t="str">
        <f t="shared" si="45"/>
        <v/>
      </c>
      <c r="BV89" t="str">
        <f t="shared" si="46"/>
        <v/>
      </c>
      <c r="BW89">
        <f>'主翼(桁)'!BG86</f>
        <v>0.10615061020288551</v>
      </c>
      <c r="BX89">
        <f t="shared" si="47"/>
        <v>5.9530790639132344E-2</v>
      </c>
      <c r="BY89">
        <f t="shared" si="48"/>
        <v>0.16568140084201785</v>
      </c>
      <c r="CA89">
        <f t="shared" si="49"/>
        <v>39.003614643703216</v>
      </c>
      <c r="CB89">
        <f t="shared" si="50"/>
        <v>4.4112720165017004E-5</v>
      </c>
      <c r="CC89">
        <f t="shared" si="51"/>
        <v>39.003570530983048</v>
      </c>
      <c r="CE89" s="49">
        <f>BY89*パラメーター!$D$5</f>
        <v>1.6231806840492491</v>
      </c>
    </row>
    <row r="90" spans="4:83">
      <c r="D90">
        <f>'主翼(型紙出力)'!B93</f>
        <v>42</v>
      </c>
      <c r="E90">
        <f>'主翼(型紙出力)'!AP93</f>
        <v>6.3949363187698607</v>
      </c>
      <c r="F90">
        <f>'主翼(型紙出力)'!AQ93</f>
        <v>0.22449098450876687</v>
      </c>
      <c r="G90">
        <f>'主翼(型紙出力)'!E93</f>
        <v>0.15</v>
      </c>
      <c r="H90">
        <f>'主翼(型紙出力)'!D93/1000</f>
        <v>0.81007272727272706</v>
      </c>
      <c r="I90" t="str">
        <f>'主翼(型紙出力)'!H93</f>
        <v>half</v>
      </c>
      <c r="J90" t="str">
        <f>'主翼(型紙出力)'!G93</f>
        <v>2番</v>
      </c>
      <c r="K90">
        <f>'主翼(型紙出力)'!L93</f>
        <v>113.33132687700079</v>
      </c>
      <c r="L90">
        <f>'主翼(型紙出力)'!I93</f>
        <v>88.222999999999985</v>
      </c>
      <c r="M90">
        <f>'主翼(型紙出力)'!M93</f>
        <v>25.108326877000806</v>
      </c>
      <c r="N90" t="str">
        <f>主翼翼型1!$C$3</f>
        <v>QX0026 root.dat</v>
      </c>
      <c r="O90" cm="1">
        <f t="array" ref="O90">_xlfn.LET(
  _xlpm.y,$E90,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0" t="str">
        <f>主翼翼型2!$C$3</f>
        <v>QX0226.dat</v>
      </c>
      <c r="Q90" cm="1">
        <f t="array" ref="Q90">_xlfn.LET(
  _xlpm.y,$E90,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0" t="str">
        <f>主翼翼型3!$C$3</f>
        <v>QX0126.dat</v>
      </c>
      <c r="S90" cm="1">
        <f t="array" ref="S90">_xlfn.LET(
  _xlpm.y,$E90,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0" t="str">
        <f>主翼翼型4!$C$3</f>
        <v>QX0026 v32.dat</v>
      </c>
      <c r="U90" cm="1">
        <f t="array" ref="U90">_xlfn.LET(
  _xlpm.y,$E90,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0" t="str">
        <f>主翼翼型5!$C$3</f>
        <v>QX0026 v32.dat</v>
      </c>
      <c r="W90" cm="1">
        <f t="array" ref="W90">_xlfn.LET(
  _xlpm.y,$E90,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0" s="233">
        <f t="shared" si="30"/>
        <v>4.2142068110701848E-2</v>
      </c>
      <c r="Y90" s="233">
        <f t="shared" si="52"/>
        <v>1.2276396011815024E-3</v>
      </c>
      <c r="Z90" s="233">
        <f t="shared" si="31"/>
        <v>8.3999999999999995E-5</v>
      </c>
      <c r="AA90" s="233">
        <f t="shared" si="53"/>
        <v>3.8331069942729081E-4</v>
      </c>
      <c r="AB90" s="233">
        <f t="shared" si="32"/>
        <v>2.0000000000000002E-5</v>
      </c>
      <c r="AC90" s="233">
        <f t="shared" si="33"/>
        <v>2.9499447677491293E-4</v>
      </c>
      <c r="AD90">
        <f t="shared" si="54"/>
        <v>1.8414594017722536E-4</v>
      </c>
      <c r="AE90">
        <f t="shared" si="55"/>
        <v>1.26E-5</v>
      </c>
      <c r="AF90">
        <f t="shared" si="34"/>
        <v>2.6831748959910358E-6</v>
      </c>
      <c r="AG90">
        <f t="shared" si="35"/>
        <v>3.0000000000000001E-6</v>
      </c>
      <c r="AH90" t="str">
        <f t="shared" si="82"/>
        <v/>
      </c>
      <c r="AI90" t="str">
        <f t="shared" si="56"/>
        <v/>
      </c>
      <c r="AJ90" t="str">
        <f t="shared" si="83"/>
        <v/>
      </c>
      <c r="AK90" t="str">
        <f t="shared" si="84"/>
        <v/>
      </c>
      <c r="AL90" t="str">
        <f t="shared" si="57"/>
        <v/>
      </c>
      <c r="AM90" t="str">
        <f t="shared" si="85"/>
        <v/>
      </c>
      <c r="AN90" t="str">
        <f t="shared" si="58"/>
        <v/>
      </c>
      <c r="AO90" s="146"/>
      <c r="AP90" t="str">
        <f t="shared" si="59"/>
        <v/>
      </c>
      <c r="AQ90" t="str">
        <f t="shared" si="60"/>
        <v/>
      </c>
      <c r="AR90" t="str">
        <f t="shared" si="61"/>
        <v/>
      </c>
      <c r="AS90" t="str">
        <f t="shared" si="62"/>
        <v/>
      </c>
      <c r="AT90" t="str">
        <f t="shared" si="63"/>
        <v/>
      </c>
      <c r="AU90" t="str">
        <f t="shared" si="64"/>
        <v/>
      </c>
      <c r="AV90" t="str">
        <f t="shared" si="40"/>
        <v/>
      </c>
      <c r="AW90" s="146"/>
      <c r="AX90">
        <f t="shared" si="65"/>
        <v>7.9648508729226498E-3</v>
      </c>
      <c r="AY90">
        <f t="shared" si="66"/>
        <v>1.5652404915064155E-2</v>
      </c>
      <c r="AZ90">
        <f t="shared" si="67"/>
        <v>1.3684191969554284E-3</v>
      </c>
      <c r="BA90">
        <f t="shared" si="68"/>
        <v>4.024762343986554E-3</v>
      </c>
      <c r="BB90">
        <f t="shared" si="69"/>
        <v>4.5000000000000005E-3</v>
      </c>
      <c r="BC90">
        <f t="shared" si="70"/>
        <v>1.5497179130578506E-2</v>
      </c>
      <c r="BD90">
        <f t="shared" si="41"/>
        <v>6.0502306915579092E-3</v>
      </c>
      <c r="BE90" s="146"/>
      <c r="BF90" t="str">
        <f t="shared" si="71"/>
        <v/>
      </c>
      <c r="BG90" t="str">
        <f t="shared" si="72"/>
        <v/>
      </c>
      <c r="BH90" t="str">
        <f t="shared" si="73"/>
        <v/>
      </c>
      <c r="BI90" t="str">
        <f t="shared" si="74"/>
        <v/>
      </c>
      <c r="BJ90" t="str">
        <f t="shared" si="75"/>
        <v/>
      </c>
      <c r="BK90" t="str">
        <f t="shared" si="76"/>
        <v/>
      </c>
      <c r="BL90" t="str">
        <f t="shared" si="42"/>
        <v/>
      </c>
      <c r="BM90" s="146"/>
      <c r="BN90" t="str">
        <f t="shared" si="43"/>
        <v/>
      </c>
      <c r="BO90" t="str">
        <f t="shared" si="44"/>
        <v/>
      </c>
      <c r="BP90" t="str">
        <f t="shared" si="77"/>
        <v/>
      </c>
      <c r="BQ90" t="str">
        <f t="shared" si="78"/>
        <v/>
      </c>
      <c r="BR90" t="str">
        <f t="shared" si="79"/>
        <v/>
      </c>
      <c r="BS90" t="str">
        <f t="shared" si="80"/>
        <v/>
      </c>
      <c r="BT90" t="str">
        <f t="shared" si="81"/>
        <v/>
      </c>
      <c r="BU90" t="str">
        <f t="shared" si="45"/>
        <v/>
      </c>
      <c r="BV90" t="str">
        <f t="shared" si="46"/>
        <v/>
      </c>
      <c r="BW90">
        <f>'主翼(桁)'!BG87</f>
        <v>0.10448572866907753</v>
      </c>
      <c r="BX90">
        <f t="shared" si="47"/>
        <v>5.5057847151065209E-2</v>
      </c>
      <c r="BY90">
        <f t="shared" si="48"/>
        <v>0.15954357582014272</v>
      </c>
      <c r="CA90">
        <f t="shared" si="49"/>
        <v>40.895223218110743</v>
      </c>
      <c r="CB90">
        <f t="shared" si="50"/>
        <v>1.2696988925754918E-5</v>
      </c>
      <c r="CC90">
        <f t="shared" si="51"/>
        <v>40.895210521121818</v>
      </c>
      <c r="CE90" s="49">
        <f>BY90*パラメーター!$D$5</f>
        <v>1.5630484123099384</v>
      </c>
    </row>
    <row r="91" spans="4:83">
      <c r="D91">
        <f>'主翼(型紙出力)'!B94</f>
        <v>43</v>
      </c>
      <c r="E91">
        <f>'主翼(型紙出力)'!AP94</f>
        <v>6.5445717652693185</v>
      </c>
      <c r="F91">
        <f>'主翼(型紙出力)'!AQ94</f>
        <v>0.23494245095648855</v>
      </c>
      <c r="G91">
        <f>'主翼(型紙出力)'!E94</f>
        <v>0.15</v>
      </c>
      <c r="H91">
        <f>'主翼(型紙出力)'!D94/1000</f>
        <v>0.80156363636363614</v>
      </c>
      <c r="I91" t="str">
        <f>'主翼(型紙出力)'!H94</f>
        <v>full</v>
      </c>
      <c r="J91" t="str">
        <f>'主翼(型紙出力)'!G94</f>
        <v>2番</v>
      </c>
      <c r="K91">
        <f>'主翼(型紙出力)'!L94</f>
        <v>112.1408824504973</v>
      </c>
      <c r="L91">
        <f>'主翼(型紙出力)'!I94</f>
        <v>86.85799999999999</v>
      </c>
      <c r="M91">
        <f>'主翼(型紙出力)'!M94</f>
        <v>25.282882450497311</v>
      </c>
      <c r="N91" t="str">
        <f>主翼翼型1!$C$3</f>
        <v>QX0026 root.dat</v>
      </c>
      <c r="O91" cm="1">
        <f t="array" ref="O91">_xlfn.LET(
  _xlpm.y,$E91,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1" t="str">
        <f>主翼翼型2!$C$3</f>
        <v>QX0226.dat</v>
      </c>
      <c r="Q91" cm="1">
        <f t="array" ref="Q91">_xlfn.LET(
  _xlpm.y,$E91,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1" t="str">
        <f>主翼翼型3!$C$3</f>
        <v>QX0126.dat</v>
      </c>
      <c r="S91" cm="1">
        <f t="array" ref="S91">_xlfn.LET(
  _xlpm.y,$E91,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1" t="str">
        <f>主翼翼型4!$C$3</f>
        <v>QX0026 v32.dat</v>
      </c>
      <c r="U91" cm="1">
        <f t="array" ref="U91">_xlfn.LET(
  _xlpm.y,$E91,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1" t="str">
        <f>主翼翼型5!$C$3</f>
        <v>QX0026 v32.dat</v>
      </c>
      <c r="W91" cm="1">
        <f t="array" ref="W91">_xlfn.LET(
  _xlpm.y,$E91,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1" s="233">
        <f t="shared" si="30"/>
        <v>6.1127982655519116E-2</v>
      </c>
      <c r="Y91" s="233">
        <f t="shared" si="52"/>
        <v>1.2147443429924971E-3</v>
      </c>
      <c r="Z91" s="233">
        <f t="shared" si="31"/>
        <v>8.3999999999999995E-5</v>
      </c>
      <c r="AA91" s="233">
        <f t="shared" si="53"/>
        <v>3.7928436268239759E-4</v>
      </c>
      <c r="AB91" s="233">
        <f t="shared" si="32"/>
        <v>2.0000000000000002E-5</v>
      </c>
      <c r="AC91" s="233">
        <f t="shared" si="33"/>
        <v>4.2789587858863383E-4</v>
      </c>
      <c r="AD91">
        <f t="shared" si="54"/>
        <v>1.8221165144887455E-4</v>
      </c>
      <c r="AE91">
        <f t="shared" si="55"/>
        <v>1.26E-5</v>
      </c>
      <c r="AF91">
        <f t="shared" si="34"/>
        <v>2.6549905387767832E-6</v>
      </c>
      <c r="AG91">
        <f t="shared" si="35"/>
        <v>3.0000000000000001E-6</v>
      </c>
      <c r="AH91" t="str">
        <f t="shared" si="82"/>
        <v/>
      </c>
      <c r="AI91" t="str">
        <f t="shared" si="56"/>
        <v/>
      </c>
      <c r="AJ91" t="str">
        <f t="shared" si="83"/>
        <v/>
      </c>
      <c r="AK91" t="str">
        <f t="shared" si="84"/>
        <v/>
      </c>
      <c r="AL91" t="str">
        <f t="shared" si="57"/>
        <v/>
      </c>
      <c r="AM91" t="str">
        <f t="shared" si="85"/>
        <v/>
      </c>
      <c r="AN91" t="str">
        <f t="shared" si="58"/>
        <v/>
      </c>
      <c r="AO91" s="146"/>
      <c r="AP91" t="str">
        <f t="shared" si="59"/>
        <v/>
      </c>
      <c r="AQ91" t="str">
        <f t="shared" si="60"/>
        <v/>
      </c>
      <c r="AR91" t="str">
        <f t="shared" si="61"/>
        <v/>
      </c>
      <c r="AS91" t="str">
        <f t="shared" si="62"/>
        <v/>
      </c>
      <c r="AT91" t="str">
        <f t="shared" si="63"/>
        <v/>
      </c>
      <c r="AU91" t="str">
        <f t="shared" si="64"/>
        <v/>
      </c>
      <c r="AV91" t="str">
        <f t="shared" si="40"/>
        <v/>
      </c>
      <c r="AW91" s="146"/>
      <c r="AX91">
        <f t="shared" si="65"/>
        <v>1.1553188721893114E-2</v>
      </c>
      <c r="AY91">
        <f t="shared" si="66"/>
        <v>1.5487990373154337E-2</v>
      </c>
      <c r="AZ91">
        <f t="shared" si="67"/>
        <v>1.3540451747761594E-3</v>
      </c>
      <c r="BA91">
        <f t="shared" si="68"/>
        <v>3.9824858081651746E-3</v>
      </c>
      <c r="BB91">
        <f t="shared" si="69"/>
        <v>4.5000000000000005E-3</v>
      </c>
      <c r="BC91">
        <f t="shared" si="70"/>
        <v>1.5330509246280988E-2</v>
      </c>
      <c r="BD91">
        <f t="shared" si="41"/>
        <v>6.0502306915579092E-3</v>
      </c>
      <c r="BE91" s="146"/>
      <c r="BF91" t="str">
        <f t="shared" si="71"/>
        <v/>
      </c>
      <c r="BG91" t="str">
        <f t="shared" si="72"/>
        <v/>
      </c>
      <c r="BH91" t="str">
        <f t="shared" si="73"/>
        <v/>
      </c>
      <c r="BI91" t="str">
        <f t="shared" si="74"/>
        <v/>
      </c>
      <c r="BJ91" t="str">
        <f t="shared" si="75"/>
        <v/>
      </c>
      <c r="BK91" t="str">
        <f t="shared" si="76"/>
        <v/>
      </c>
      <c r="BL91" t="str">
        <f t="shared" si="42"/>
        <v/>
      </c>
      <c r="BM91" s="146"/>
      <c r="BN91" t="str">
        <f t="shared" si="43"/>
        <v/>
      </c>
      <c r="BO91" t="str">
        <f t="shared" si="44"/>
        <v/>
      </c>
      <c r="BP91" t="str">
        <f t="shared" si="77"/>
        <v/>
      </c>
      <c r="BQ91" t="str">
        <f t="shared" si="78"/>
        <v/>
      </c>
      <c r="BR91" t="str">
        <f t="shared" si="79"/>
        <v/>
      </c>
      <c r="BS91" t="str">
        <f t="shared" si="80"/>
        <v/>
      </c>
      <c r="BT91" t="str">
        <f t="shared" si="81"/>
        <v/>
      </c>
      <c r="BU91" t="str">
        <f t="shared" si="45"/>
        <v/>
      </c>
      <c r="BV91" t="str">
        <f t="shared" si="46"/>
        <v/>
      </c>
      <c r="BW91">
        <f>'主翼(桁)'!BG88</f>
        <v>0.10282084713526952</v>
      </c>
      <c r="BX91">
        <f t="shared" si="47"/>
        <v>5.825845001582769E-2</v>
      </c>
      <c r="BY91">
        <f t="shared" si="48"/>
        <v>0.1610792971510972</v>
      </c>
      <c r="CA91">
        <f t="shared" si="49"/>
        <v>42.831616003974979</v>
      </c>
      <c r="CB91">
        <f t="shared" si="50"/>
        <v>1.9641321461982451E-4</v>
      </c>
      <c r="CC91">
        <f t="shared" si="51"/>
        <v>42.831419590760362</v>
      </c>
      <c r="CE91" s="49">
        <f>BY91*パラメーター!$D$5</f>
        <v>1.5780938741892994</v>
      </c>
    </row>
    <row r="92" spans="4:83">
      <c r="D92">
        <f>'主翼(型紙出力)'!B95</f>
        <v>44</v>
      </c>
      <c r="E92">
        <f>'主翼(型紙出力)'!AP95</f>
        <v>6.6941899561932239</v>
      </c>
      <c r="F92">
        <f>'主翼(型紙出力)'!AQ95</f>
        <v>0.24563810169208655</v>
      </c>
      <c r="G92">
        <f>'主翼(型紙出力)'!E95</f>
        <v>0.15</v>
      </c>
      <c r="H92">
        <f>'主翼(型紙出力)'!D95/1000</f>
        <v>0.79305454545454512</v>
      </c>
      <c r="I92" t="str">
        <f>'主翼(型紙出力)'!H95</f>
        <v>half</v>
      </c>
      <c r="J92" t="str">
        <f>'主翼(型紙出力)'!G95</f>
        <v>2番</v>
      </c>
      <c r="K92">
        <f>'主翼(型紙出力)'!L95</f>
        <v>110.95043802399384</v>
      </c>
      <c r="L92">
        <f>'主翼(型紙出力)'!I95</f>
        <v>85.492999999999981</v>
      </c>
      <c r="M92">
        <f>'主翼(型紙出力)'!M95</f>
        <v>25.457438023993859</v>
      </c>
      <c r="N92" t="str">
        <f>主翼翼型1!$C$3</f>
        <v>QX0026 root.dat</v>
      </c>
      <c r="O92" cm="1">
        <f t="array" ref="O92">_xlfn.LET(
  _xlpm.y,$E92,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2" t="str">
        <f>主翼翼型2!$C$3</f>
        <v>QX0226.dat</v>
      </c>
      <c r="Q92" cm="1">
        <f t="array" ref="Q92">_xlfn.LET(
  _xlpm.y,$E92,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2" t="str">
        <f>主翼翼型3!$C$3</f>
        <v>QX0126.dat</v>
      </c>
      <c r="S92" cm="1">
        <f t="array" ref="S92">_xlfn.LET(
  _xlpm.y,$E92,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2" t="str">
        <f>主翼翼型4!$C$3</f>
        <v>QX0026 v32.dat</v>
      </c>
      <c r="U92" cm="1">
        <f t="array" ref="U92">_xlfn.LET(
  _xlpm.y,$E92,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2" t="str">
        <f>主翼翼型5!$C$3</f>
        <v>QX0026 v32.dat</v>
      </c>
      <c r="W92" cm="1">
        <f t="array" ref="W92">_xlfn.LET(
  _xlpm.y,$E92,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2" s="233">
        <f t="shared" si="30"/>
        <v>4.0390008071607468E-2</v>
      </c>
      <c r="Y92" s="233">
        <f t="shared" si="52"/>
        <v>1.2018490848034915E-3</v>
      </c>
      <c r="Z92" s="233">
        <f t="shared" si="31"/>
        <v>8.3999999999999995E-5</v>
      </c>
      <c r="AA92" s="233">
        <f t="shared" si="53"/>
        <v>3.7525802593750432E-4</v>
      </c>
      <c r="AB92" s="233">
        <f t="shared" si="32"/>
        <v>2.0000000000000002E-5</v>
      </c>
      <c r="AC92" s="233">
        <f t="shared" si="33"/>
        <v>2.8273005650125227E-4</v>
      </c>
      <c r="AD92">
        <f t="shared" si="54"/>
        <v>1.8027736272052374E-4</v>
      </c>
      <c r="AE92">
        <f t="shared" si="55"/>
        <v>1.26E-5</v>
      </c>
      <c r="AF92">
        <f t="shared" si="34"/>
        <v>2.6268061815625301E-6</v>
      </c>
      <c r="AG92">
        <f t="shared" si="35"/>
        <v>3.0000000000000001E-6</v>
      </c>
      <c r="AH92" t="str">
        <f t="shared" si="82"/>
        <v/>
      </c>
      <c r="AI92" t="str">
        <f t="shared" si="56"/>
        <v/>
      </c>
      <c r="AJ92" t="str">
        <f t="shared" si="83"/>
        <v/>
      </c>
      <c r="AK92" t="str">
        <f t="shared" si="84"/>
        <v/>
      </c>
      <c r="AL92" t="str">
        <f t="shared" si="57"/>
        <v/>
      </c>
      <c r="AM92" t="str">
        <f t="shared" si="85"/>
        <v/>
      </c>
      <c r="AN92" t="str">
        <f t="shared" si="58"/>
        <v/>
      </c>
      <c r="AO92" s="146"/>
      <c r="AP92" t="str">
        <f t="shared" si="59"/>
        <v/>
      </c>
      <c r="AQ92" t="str">
        <f t="shared" si="60"/>
        <v/>
      </c>
      <c r="AR92" t="str">
        <f t="shared" si="61"/>
        <v/>
      </c>
      <c r="AS92" t="str">
        <f t="shared" si="62"/>
        <v/>
      </c>
      <c r="AT92" t="str">
        <f t="shared" si="63"/>
        <v/>
      </c>
      <c r="AU92" t="str">
        <f t="shared" si="64"/>
        <v/>
      </c>
      <c r="AV92" t="str">
        <f t="shared" si="40"/>
        <v/>
      </c>
      <c r="AW92" s="146"/>
      <c r="AX92">
        <f t="shared" si="65"/>
        <v>7.6337115255338114E-3</v>
      </c>
      <c r="AY92">
        <f t="shared" si="66"/>
        <v>1.5323575831244518E-2</v>
      </c>
      <c r="AZ92">
        <f t="shared" si="67"/>
        <v>1.3396711525968904E-3</v>
      </c>
      <c r="BA92">
        <f t="shared" si="68"/>
        <v>3.9402092723437952E-3</v>
      </c>
      <c r="BB92">
        <f t="shared" si="69"/>
        <v>4.5000000000000005E-3</v>
      </c>
      <c r="BC92">
        <f t="shared" si="70"/>
        <v>1.5164925431404953E-2</v>
      </c>
      <c r="BD92">
        <f t="shared" si="41"/>
        <v>6.0502306915579092E-3</v>
      </c>
      <c r="BE92" s="146"/>
      <c r="BF92" t="str">
        <f t="shared" si="71"/>
        <v/>
      </c>
      <c r="BG92" t="str">
        <f t="shared" si="72"/>
        <v/>
      </c>
      <c r="BH92" t="str">
        <f t="shared" si="73"/>
        <v/>
      </c>
      <c r="BI92" t="str">
        <f t="shared" si="74"/>
        <v/>
      </c>
      <c r="BJ92" t="str">
        <f t="shared" si="75"/>
        <v/>
      </c>
      <c r="BK92" t="str">
        <f t="shared" si="76"/>
        <v/>
      </c>
      <c r="BL92" t="str">
        <f t="shared" si="42"/>
        <v/>
      </c>
      <c r="BM92" s="146"/>
      <c r="BN92" t="str">
        <f t="shared" si="43"/>
        <v/>
      </c>
      <c r="BO92" t="str">
        <f t="shared" si="44"/>
        <v/>
      </c>
      <c r="BP92" t="str">
        <f t="shared" si="77"/>
        <v/>
      </c>
      <c r="BQ92" t="str">
        <f t="shared" si="78"/>
        <v/>
      </c>
      <c r="BR92" t="str">
        <f t="shared" si="79"/>
        <v/>
      </c>
      <c r="BS92" t="str">
        <f t="shared" si="80"/>
        <v/>
      </c>
      <c r="BT92" t="str">
        <f t="shared" si="81"/>
        <v/>
      </c>
      <c r="BU92" t="str">
        <f t="shared" si="45"/>
        <v/>
      </c>
      <c r="BV92" t="str">
        <f t="shared" si="46"/>
        <v/>
      </c>
      <c r="BW92">
        <f>'主翼(桁)'!BG89</f>
        <v>0.10115596560146149</v>
      </c>
      <c r="BX92">
        <f t="shared" si="47"/>
        <v>5.3952323904681881E-2</v>
      </c>
      <c r="BY92">
        <f t="shared" si="48"/>
        <v>0.15510828950614336</v>
      </c>
      <c r="CA92">
        <f t="shared" si="49"/>
        <v>44.812789773497563</v>
      </c>
      <c r="CB92">
        <f t="shared" si="50"/>
        <v>6.1060389932540205E-4</v>
      </c>
      <c r="CC92">
        <f t="shared" si="51"/>
        <v>44.812179169598238</v>
      </c>
      <c r="CE92" s="49">
        <f>BY92*パラメーター!$D$5</f>
        <v>1.5195959122916867</v>
      </c>
    </row>
    <row r="93" spans="4:83">
      <c r="D93">
        <f>'主翼(型紙出力)'!B96</f>
        <v>45</v>
      </c>
      <c r="E93">
        <f>'主翼(型紙出力)'!AP96</f>
        <v>6.8437906607047285</v>
      </c>
      <c r="F93">
        <f>'主翼(型紙出力)'!AQ96</f>
        <v>0.25657561556231417</v>
      </c>
      <c r="G93">
        <f>'主翼(型紙出力)'!E96</f>
        <v>0.15</v>
      </c>
      <c r="H93">
        <f>'主翼(型紙出力)'!D96/1000</f>
        <v>0.78454545454545421</v>
      </c>
      <c r="I93" t="str">
        <f>'主翼(型紙出力)'!H96</f>
        <v>full</v>
      </c>
      <c r="J93" t="str">
        <f>'主翼(型紙出力)'!G96</f>
        <v>2番</v>
      </c>
      <c r="K93">
        <f>'主翼(型紙出力)'!L96</f>
        <v>109.75999359749034</v>
      </c>
      <c r="L93">
        <f>'主翼(型紙出力)'!I96</f>
        <v>84.127999999999972</v>
      </c>
      <c r="M93">
        <f>'主翼(型紙出力)'!M96</f>
        <v>25.631993597490364</v>
      </c>
      <c r="N93" t="str">
        <f>主翼翼型1!$C$3</f>
        <v>QX0026 root.dat</v>
      </c>
      <c r="O93" cm="1">
        <f t="array" ref="O93">_xlfn.LET(
  _xlpm.y,$E93,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3" t="str">
        <f>主翼翼型2!$C$3</f>
        <v>QX0226.dat</v>
      </c>
      <c r="Q93" cm="1">
        <f t="array" ref="Q93">_xlfn.LET(
  _xlpm.y,$E93,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3" t="str">
        <f>主翼翼型3!$C$3</f>
        <v>QX0126.dat</v>
      </c>
      <c r="S93" cm="1">
        <f t="array" ref="S93">_xlfn.LET(
  _xlpm.y,$E93,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3" t="str">
        <f>主翼翼型4!$C$3</f>
        <v>QX0026 v32.dat</v>
      </c>
      <c r="U93" cm="1">
        <f t="array" ref="U93">_xlfn.LET(
  _xlpm.y,$E93,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3" t="str">
        <f>主翼翼型5!$C$3</f>
        <v>QX0026 v32.dat</v>
      </c>
      <c r="W93" cm="1">
        <f t="array" ref="W93">_xlfn.LET(
  _xlpm.y,$E93,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3" s="233">
        <f t="shared" si="30"/>
        <v>5.8559892515700873E-2</v>
      </c>
      <c r="Y93" s="233">
        <f t="shared" si="52"/>
        <v>1.1889538266144863E-3</v>
      </c>
      <c r="Z93" s="233">
        <f t="shared" si="31"/>
        <v>8.3999999999999995E-5</v>
      </c>
      <c r="AA93" s="233">
        <f t="shared" si="53"/>
        <v>3.7123168919261115E-4</v>
      </c>
      <c r="AB93" s="233">
        <f t="shared" si="32"/>
        <v>2.0000000000000002E-5</v>
      </c>
      <c r="AC93" s="233">
        <f t="shared" si="33"/>
        <v>4.0991924760990612E-4</v>
      </c>
      <c r="AD93">
        <f t="shared" si="54"/>
        <v>1.7834307399217293E-4</v>
      </c>
      <c r="AE93">
        <f t="shared" si="55"/>
        <v>1.26E-5</v>
      </c>
      <c r="AF93">
        <f t="shared" si="34"/>
        <v>2.5986218243482783E-6</v>
      </c>
      <c r="AG93">
        <f t="shared" si="35"/>
        <v>3.0000000000000001E-6</v>
      </c>
      <c r="AH93" t="str">
        <f t="shared" si="82"/>
        <v/>
      </c>
      <c r="AI93" t="str">
        <f t="shared" si="56"/>
        <v/>
      </c>
      <c r="AJ93" t="str">
        <f t="shared" si="83"/>
        <v/>
      </c>
      <c r="AK93" t="str">
        <f t="shared" si="84"/>
        <v/>
      </c>
      <c r="AL93" t="str">
        <f t="shared" si="57"/>
        <v/>
      </c>
      <c r="AM93" t="str">
        <f t="shared" si="85"/>
        <v/>
      </c>
      <c r="AN93" t="str">
        <f t="shared" si="58"/>
        <v/>
      </c>
      <c r="AO93" s="146"/>
      <c r="AP93" t="str">
        <f t="shared" si="59"/>
        <v/>
      </c>
      <c r="AQ93" t="str">
        <f t="shared" si="60"/>
        <v/>
      </c>
      <c r="AR93" t="str">
        <f t="shared" si="61"/>
        <v/>
      </c>
      <c r="AS93" t="str">
        <f t="shared" si="62"/>
        <v/>
      </c>
      <c r="AT93" t="str">
        <f t="shared" si="63"/>
        <v/>
      </c>
      <c r="AU93" t="str">
        <f t="shared" si="64"/>
        <v/>
      </c>
      <c r="AV93" t="str">
        <f t="shared" si="40"/>
        <v/>
      </c>
      <c r="AW93" s="146"/>
      <c r="AX93">
        <f t="shared" si="65"/>
        <v>1.1067819685467465E-2</v>
      </c>
      <c r="AY93">
        <f t="shared" si="66"/>
        <v>1.5159161289334699E-2</v>
      </c>
      <c r="AZ93">
        <f t="shared" si="67"/>
        <v>1.325297130417622E-3</v>
      </c>
      <c r="BA93">
        <f t="shared" si="68"/>
        <v>3.8979327365224175E-3</v>
      </c>
      <c r="BB93">
        <f t="shared" si="69"/>
        <v>4.5000000000000005E-3</v>
      </c>
      <c r="BC93">
        <f t="shared" si="70"/>
        <v>1.5000427685950408E-2</v>
      </c>
      <c r="BD93">
        <f t="shared" si="41"/>
        <v>6.0502306915579092E-3</v>
      </c>
      <c r="BE93" s="146"/>
      <c r="BF93" t="str">
        <f t="shared" si="71"/>
        <v/>
      </c>
      <c r="BG93" t="str">
        <f t="shared" si="72"/>
        <v/>
      </c>
      <c r="BH93" t="str">
        <f t="shared" si="73"/>
        <v/>
      </c>
      <c r="BI93" t="str">
        <f t="shared" si="74"/>
        <v/>
      </c>
      <c r="BJ93" t="str">
        <f t="shared" si="75"/>
        <v/>
      </c>
      <c r="BK93" t="str">
        <f t="shared" si="76"/>
        <v/>
      </c>
      <c r="BL93" t="str">
        <f t="shared" si="42"/>
        <v/>
      </c>
      <c r="BM93" s="146"/>
      <c r="BN93" t="str">
        <f t="shared" si="43"/>
        <v/>
      </c>
      <c r="BO93" t="str">
        <f t="shared" si="44"/>
        <v/>
      </c>
      <c r="BP93" t="str">
        <f t="shared" si="77"/>
        <v/>
      </c>
      <c r="BQ93" t="str">
        <f t="shared" si="78"/>
        <v/>
      </c>
      <c r="BR93" t="str">
        <f t="shared" si="79"/>
        <v/>
      </c>
      <c r="BS93" t="str">
        <f t="shared" si="80"/>
        <v/>
      </c>
      <c r="BT93" t="str">
        <f t="shared" si="81"/>
        <v/>
      </c>
      <c r="BU93" t="str">
        <f t="shared" si="45"/>
        <v/>
      </c>
      <c r="BV93" t="str">
        <f t="shared" si="46"/>
        <v/>
      </c>
      <c r="BW93">
        <f>'主翼(桁)'!BG90</f>
        <v>9.9491084067653487E-2</v>
      </c>
      <c r="BX93">
        <f t="shared" si="47"/>
        <v>5.7000869219250516E-2</v>
      </c>
      <c r="BY93">
        <f t="shared" si="48"/>
        <v>0.15649195328690402</v>
      </c>
      <c r="CA93">
        <f t="shared" si="49"/>
        <v>46.838741381357522</v>
      </c>
      <c r="CB93">
        <f t="shared" si="50"/>
        <v>1.2707738082592471E-3</v>
      </c>
      <c r="CC93">
        <f t="shared" si="51"/>
        <v>46.837470607549264</v>
      </c>
      <c r="CE93" s="49">
        <f>BY93*パラメーター!$D$5</f>
        <v>1.5331516663517988</v>
      </c>
    </row>
    <row r="94" spans="4:83">
      <c r="D94">
        <f>'主翼(型紙出力)'!B97</f>
        <v>46</v>
      </c>
      <c r="E94">
        <f>'主翼(型紙出力)'!AP97</f>
        <v>6.9933736637456869</v>
      </c>
      <c r="F94">
        <f>'主翼(型紙出力)'!AQ97</f>
        <v>0.26775260984738647</v>
      </c>
      <c r="G94">
        <f>'主翼(型紙出力)'!E97</f>
        <v>0.15</v>
      </c>
      <c r="H94">
        <f>'主翼(型紙出力)'!D97/1000</f>
        <v>0.77603636363636341</v>
      </c>
      <c r="I94" t="str">
        <f>'主翼(型紙出力)'!H97</f>
        <v>half</v>
      </c>
      <c r="J94" t="str">
        <f>'主翼(型紙出力)'!G97</f>
        <v>2番</v>
      </c>
      <c r="K94">
        <f>'主翼(型紙出力)'!L97</f>
        <v>108.56954917098685</v>
      </c>
      <c r="L94">
        <f>'主翼(型紙出力)'!I97</f>
        <v>82.762999999999963</v>
      </c>
      <c r="M94">
        <f>'主翼(型紙出力)'!M97</f>
        <v>25.806549170986884</v>
      </c>
      <c r="N94" t="str">
        <f>主翼翼型1!$C$3</f>
        <v>QX0026 root.dat</v>
      </c>
      <c r="O94" cm="1">
        <f t="array" ref="O94">_xlfn.LET(
  _xlpm.y,$E94,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4" t="str">
        <f>主翼翼型2!$C$3</f>
        <v>QX0226.dat</v>
      </c>
      <c r="Q94" cm="1">
        <f t="array" ref="Q94">_xlfn.LET(
  _xlpm.y,$E94,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4" t="str">
        <f>主翼翼型3!$C$3</f>
        <v>QX0126.dat</v>
      </c>
      <c r="S94" cm="1">
        <f t="array" ref="S94">_xlfn.LET(
  _xlpm.y,$E94,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4" t="str">
        <f>主翼翼型4!$C$3</f>
        <v>QX0026 v32.dat</v>
      </c>
      <c r="U94" cm="1">
        <f t="array" ref="U94">_xlfn.LET(
  _xlpm.y,$E94,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4" t="str">
        <f>主翼翼型5!$C$3</f>
        <v>QX0026 v32.dat</v>
      </c>
      <c r="W94" cm="1">
        <f t="array" ref="W94">_xlfn.LET(
  _xlpm.y,$E94,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4" s="233">
        <f t="shared" si="30"/>
        <v>3.8675146421947242E-2</v>
      </c>
      <c r="Y94" s="233">
        <f t="shared" si="52"/>
        <v>1.176058568425481E-3</v>
      </c>
      <c r="Z94" s="233">
        <f t="shared" si="31"/>
        <v>8.3999999999999995E-5</v>
      </c>
      <c r="AA94" s="233">
        <f t="shared" si="53"/>
        <v>3.6720535244771799E-4</v>
      </c>
      <c r="AB94" s="233">
        <f t="shared" si="32"/>
        <v>2.0000000000000002E-5</v>
      </c>
      <c r="AC94" s="233">
        <f t="shared" si="33"/>
        <v>2.7072602495363068E-4</v>
      </c>
      <c r="AD94">
        <f t="shared" si="54"/>
        <v>1.7640878526382214E-4</v>
      </c>
      <c r="AE94">
        <f t="shared" si="55"/>
        <v>1.26E-5</v>
      </c>
      <c r="AF94">
        <f t="shared" si="34"/>
        <v>2.5704374671340261E-6</v>
      </c>
      <c r="AG94">
        <f t="shared" si="35"/>
        <v>3.0000000000000001E-6</v>
      </c>
      <c r="AH94" t="str">
        <f t="shared" si="82"/>
        <v/>
      </c>
      <c r="AI94" t="str">
        <f t="shared" si="56"/>
        <v/>
      </c>
      <c r="AJ94" t="str">
        <f t="shared" si="83"/>
        <v/>
      </c>
      <c r="AK94" t="str">
        <f t="shared" si="84"/>
        <v/>
      </c>
      <c r="AL94" t="str">
        <f t="shared" si="57"/>
        <v/>
      </c>
      <c r="AM94" t="str">
        <f t="shared" si="85"/>
        <v/>
      </c>
      <c r="AN94" t="str">
        <f t="shared" si="58"/>
        <v/>
      </c>
      <c r="AO94" s="146"/>
      <c r="AP94" t="str">
        <f t="shared" si="59"/>
        <v/>
      </c>
      <c r="AQ94" t="str">
        <f t="shared" si="60"/>
        <v/>
      </c>
      <c r="AR94" t="str">
        <f t="shared" si="61"/>
        <v/>
      </c>
      <c r="AS94" t="str">
        <f t="shared" si="62"/>
        <v/>
      </c>
      <c r="AT94" t="str">
        <f t="shared" si="63"/>
        <v/>
      </c>
      <c r="AU94" t="str">
        <f t="shared" si="64"/>
        <v/>
      </c>
      <c r="AV94" t="str">
        <f t="shared" si="40"/>
        <v/>
      </c>
      <c r="AW94" s="146"/>
      <c r="AX94">
        <f t="shared" si="65"/>
        <v>7.3096026737480288E-3</v>
      </c>
      <c r="AY94">
        <f t="shared" si="66"/>
        <v>1.4994746747424882E-2</v>
      </c>
      <c r="AZ94">
        <f t="shared" si="67"/>
        <v>1.3109231082383533E-3</v>
      </c>
      <c r="BA94">
        <f t="shared" si="68"/>
        <v>3.855656200701039E-3</v>
      </c>
      <c r="BB94">
        <f t="shared" si="69"/>
        <v>4.5000000000000005E-3</v>
      </c>
      <c r="BC94">
        <f t="shared" si="70"/>
        <v>1.483701600991735E-2</v>
      </c>
      <c r="BD94">
        <f t="shared" si="41"/>
        <v>6.0502306915579092E-3</v>
      </c>
      <c r="BE94" s="146"/>
      <c r="BF94" t="str">
        <f t="shared" si="71"/>
        <v/>
      </c>
      <c r="BG94" t="str">
        <f t="shared" si="72"/>
        <v/>
      </c>
      <c r="BH94" t="str">
        <f t="shared" si="73"/>
        <v/>
      </c>
      <c r="BI94" t="str">
        <f t="shared" si="74"/>
        <v/>
      </c>
      <c r="BJ94" t="str">
        <f t="shared" si="75"/>
        <v/>
      </c>
      <c r="BK94" t="str">
        <f t="shared" si="76"/>
        <v/>
      </c>
      <c r="BL94" t="str">
        <f t="shared" si="42"/>
        <v/>
      </c>
      <c r="BM94" s="146"/>
      <c r="BN94" t="str">
        <f t="shared" si="43"/>
        <v/>
      </c>
      <c r="BO94" t="str">
        <f t="shared" si="44"/>
        <v/>
      </c>
      <c r="BP94" t="str">
        <f t="shared" si="77"/>
        <v/>
      </c>
      <c r="BQ94" t="str">
        <f t="shared" si="78"/>
        <v/>
      </c>
      <c r="BR94" t="str">
        <f t="shared" si="79"/>
        <v/>
      </c>
      <c r="BS94" t="str">
        <f t="shared" si="80"/>
        <v/>
      </c>
      <c r="BT94" t="str">
        <f t="shared" si="81"/>
        <v/>
      </c>
      <c r="BU94" t="str">
        <f t="shared" si="45"/>
        <v/>
      </c>
      <c r="BV94" t="str">
        <f t="shared" si="46"/>
        <v/>
      </c>
      <c r="BW94">
        <f>'主翼(桁)'!BG91</f>
        <v>9.7826202533845413E-2</v>
      </c>
      <c r="BX94">
        <f t="shared" si="47"/>
        <v>5.2858175431587565E-2</v>
      </c>
      <c r="BY94">
        <f t="shared" si="48"/>
        <v>0.15068437796543299</v>
      </c>
      <c r="CA94">
        <f t="shared" si="49"/>
        <v>48.909467772854583</v>
      </c>
      <c r="CB94">
        <f t="shared" si="50"/>
        <v>2.1925720828090698E-3</v>
      </c>
      <c r="CC94">
        <f t="shared" si="51"/>
        <v>48.907275200771771</v>
      </c>
      <c r="CE94" s="49">
        <f>BY94*パラメーター!$D$5</f>
        <v>1.4762548509273472</v>
      </c>
    </row>
    <row r="95" spans="4:83">
      <c r="D95">
        <f>'主翼(型紙出力)'!B98</f>
        <v>47</v>
      </c>
      <c r="E95">
        <f>'主翼(型紙出力)'!AP98</f>
        <v>7.1429387661594541</v>
      </c>
      <c r="F95">
        <f>'主翼(型紙出力)'!AQ98</f>
        <v>0.27916664243711253</v>
      </c>
      <c r="G95">
        <f>'主翼(型紙出力)'!E98</f>
        <v>0.15</v>
      </c>
      <c r="H95">
        <f>'主翼(型紙出力)'!D98/1000</f>
        <v>0.76752727272727239</v>
      </c>
      <c r="I95" t="str">
        <f>'主翼(型紙出力)'!H98</f>
        <v>full</v>
      </c>
      <c r="J95" t="str">
        <f>'主翼(型紙出力)'!G98</f>
        <v>2番</v>
      </c>
      <c r="K95">
        <f>'主翼(型紙出力)'!L98</f>
        <v>107.37910474448334</v>
      </c>
      <c r="L95">
        <f>'主翼(型紙出力)'!I98</f>
        <v>81.397999999999968</v>
      </c>
      <c r="M95">
        <f>'主翼(型紙出力)'!M98</f>
        <v>25.981104744483375</v>
      </c>
      <c r="N95" t="str">
        <f>主翼翼型1!$C$3</f>
        <v>QX0026 root.dat</v>
      </c>
      <c r="O95" cm="1">
        <f t="array" ref="O95">_xlfn.LET(
  _xlpm.y,$E95,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5" t="str">
        <f>主翼翼型2!$C$3</f>
        <v>QX0226.dat</v>
      </c>
      <c r="Q95" cm="1">
        <f t="array" ref="Q95">_xlfn.LET(
  _xlpm.y,$E95,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5" t="str">
        <f>主翼翼型3!$C$3</f>
        <v>QX0126.dat</v>
      </c>
      <c r="S95" cm="1">
        <f t="array" ref="S95">_xlfn.LET(
  _xlpm.y,$E95,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5" t="str">
        <f>主翼翼型4!$C$3</f>
        <v>QX0026 v32.dat</v>
      </c>
      <c r="U95" cm="1">
        <f t="array" ref="U95">_xlfn.LET(
  _xlpm.y,$E95,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5" t="str">
        <f>主翼翼型5!$C$3</f>
        <v>QX0026 v32.dat</v>
      </c>
      <c r="W95" cm="1">
        <f t="array" ref="W95">_xlfn.LET(
  _xlpm.y,$E95,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5" s="233">
        <f t="shared" si="30"/>
        <v>5.6046911100970216E-2</v>
      </c>
      <c r="Y95" s="233">
        <f t="shared" si="52"/>
        <v>1.1631633102364754E-3</v>
      </c>
      <c r="Z95" s="233">
        <f t="shared" si="31"/>
        <v>8.3999999999999995E-5</v>
      </c>
      <c r="AA95" s="233">
        <f t="shared" si="53"/>
        <v>3.6317901570282472E-4</v>
      </c>
      <c r="AB95" s="233">
        <f t="shared" si="32"/>
        <v>2.0000000000000002E-5</v>
      </c>
      <c r="AC95" s="233">
        <f t="shared" si="33"/>
        <v>3.9232837770679152E-4</v>
      </c>
      <c r="AD95">
        <f t="shared" si="54"/>
        <v>1.7447449653547131E-4</v>
      </c>
      <c r="AE95">
        <f t="shared" si="55"/>
        <v>1.26E-5</v>
      </c>
      <c r="AF95">
        <f t="shared" si="34"/>
        <v>2.542253109919773E-6</v>
      </c>
      <c r="AG95">
        <f t="shared" si="35"/>
        <v>3.0000000000000001E-6</v>
      </c>
      <c r="AH95" t="str">
        <f t="shared" si="82"/>
        <v/>
      </c>
      <c r="AI95" t="str">
        <f t="shared" si="56"/>
        <v/>
      </c>
      <c r="AJ95" t="str">
        <f t="shared" si="83"/>
        <v/>
      </c>
      <c r="AK95" t="str">
        <f t="shared" si="84"/>
        <v/>
      </c>
      <c r="AL95" t="str">
        <f t="shared" si="57"/>
        <v/>
      </c>
      <c r="AM95" t="str">
        <f t="shared" si="85"/>
        <v/>
      </c>
      <c r="AN95" t="str">
        <f t="shared" si="58"/>
        <v/>
      </c>
      <c r="AO95" s="146"/>
      <c r="AP95" t="str">
        <f t="shared" si="59"/>
        <v/>
      </c>
      <c r="AQ95" t="str">
        <f t="shared" si="60"/>
        <v/>
      </c>
      <c r="AR95" t="str">
        <f t="shared" si="61"/>
        <v/>
      </c>
      <c r="AS95" t="str">
        <f t="shared" si="62"/>
        <v/>
      </c>
      <c r="AT95" t="str">
        <f t="shared" si="63"/>
        <v/>
      </c>
      <c r="AU95" t="str">
        <f t="shared" si="64"/>
        <v/>
      </c>
      <c r="AV95" t="str">
        <f t="shared" si="40"/>
        <v/>
      </c>
      <c r="AW95" s="146"/>
      <c r="AX95">
        <f t="shared" si="65"/>
        <v>1.059286619808337E-2</v>
      </c>
      <c r="AY95">
        <f t="shared" si="66"/>
        <v>1.4830332205515061E-2</v>
      </c>
      <c r="AZ95">
        <f t="shared" si="67"/>
        <v>1.2965490860590843E-3</v>
      </c>
      <c r="BA95">
        <f t="shared" si="68"/>
        <v>3.8133796648796596E-3</v>
      </c>
      <c r="BB95">
        <f t="shared" si="69"/>
        <v>4.5000000000000005E-3</v>
      </c>
      <c r="BC95">
        <f t="shared" si="70"/>
        <v>1.4674690403305778E-2</v>
      </c>
      <c r="BD95">
        <f t="shared" si="41"/>
        <v>6.0502306915579092E-3</v>
      </c>
      <c r="BE95" s="146"/>
      <c r="BF95" t="str">
        <f t="shared" si="71"/>
        <v/>
      </c>
      <c r="BG95" t="str">
        <f t="shared" si="72"/>
        <v/>
      </c>
      <c r="BH95" t="str">
        <f t="shared" si="73"/>
        <v/>
      </c>
      <c r="BI95" t="str">
        <f t="shared" si="74"/>
        <v/>
      </c>
      <c r="BJ95" t="str">
        <f t="shared" si="75"/>
        <v/>
      </c>
      <c r="BK95" t="str">
        <f t="shared" si="76"/>
        <v/>
      </c>
      <c r="BL95" t="str">
        <f t="shared" si="42"/>
        <v/>
      </c>
      <c r="BM95" s="146"/>
      <c r="BN95" t="str">
        <f t="shared" si="43"/>
        <v/>
      </c>
      <c r="BO95" t="str">
        <f t="shared" si="44"/>
        <v/>
      </c>
      <c r="BP95" t="str">
        <f t="shared" si="77"/>
        <v/>
      </c>
      <c r="BQ95" t="str">
        <f t="shared" si="78"/>
        <v/>
      </c>
      <c r="BR95" t="str">
        <f t="shared" si="79"/>
        <v/>
      </c>
      <c r="BS95" t="str">
        <f t="shared" si="80"/>
        <v/>
      </c>
      <c r="BT95" t="str">
        <f t="shared" si="81"/>
        <v/>
      </c>
      <c r="BU95" t="str">
        <f t="shared" si="45"/>
        <v/>
      </c>
      <c r="BV95" t="str">
        <f t="shared" si="46"/>
        <v/>
      </c>
      <c r="BW95">
        <f>'主翼(桁)'!BG92</f>
        <v>9.6161321000037339E-2</v>
      </c>
      <c r="BX95">
        <f t="shared" si="47"/>
        <v>5.5758048249400866E-2</v>
      </c>
      <c r="BY95">
        <f t="shared" si="48"/>
        <v>0.15191936924943822</v>
      </c>
      <c r="CA95">
        <f t="shared" si="49"/>
        <v>51.024965991396094</v>
      </c>
      <c r="CB95">
        <f t="shared" si="50"/>
        <v>3.3917742925551205E-3</v>
      </c>
      <c r="CC95">
        <f t="shared" si="51"/>
        <v>51.021574217103542</v>
      </c>
      <c r="CE95" s="49">
        <f>BY95*パラメーター!$D$5</f>
        <v>1.4883540605367462</v>
      </c>
    </row>
    <row r="96" spans="4:83">
      <c r="D96">
        <f>'主翼(型紙出力)'!B99</f>
        <v>48</v>
      </c>
      <c r="E96">
        <f>'主翼(型紙出力)'!AP99</f>
        <v>7.2924857847409079</v>
      </c>
      <c r="F96">
        <f>'主翼(型紙出力)'!AQ99</f>
        <v>0.29081521459847037</v>
      </c>
      <c r="G96">
        <f>'主翼(型紙出力)'!E99</f>
        <v>0.15</v>
      </c>
      <c r="H96">
        <f>'主翼(型紙出力)'!D99/1000</f>
        <v>0.75901818181818148</v>
      </c>
      <c r="I96" t="str">
        <f>'主翼(型紙出力)'!H99</f>
        <v>half</v>
      </c>
      <c r="J96" t="str">
        <f>'主翼(型紙出力)'!G99</f>
        <v>2番</v>
      </c>
      <c r="K96">
        <f>'主翼(型紙出力)'!L99</f>
        <v>106.18866031797987</v>
      </c>
      <c r="L96">
        <f>'主翼(型紙出力)'!I99</f>
        <v>80.032999999999959</v>
      </c>
      <c r="M96">
        <f>'主翼(型紙出力)'!M99</f>
        <v>26.155660317979908</v>
      </c>
      <c r="N96" t="str">
        <f>主翼翼型1!$C$3</f>
        <v>QX0026 root.dat</v>
      </c>
      <c r="O96" cm="1">
        <f t="array" ref="O96">_xlfn.LET(
  _xlpm.y,$E96,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6" t="str">
        <f>主翼翼型2!$C$3</f>
        <v>QX0226.dat</v>
      </c>
      <c r="Q96" cm="1">
        <f t="array" ref="Q96">_xlfn.LET(
  _xlpm.y,$E96,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6" t="str">
        <f>主翼翼型3!$C$3</f>
        <v>QX0126.dat</v>
      </c>
      <c r="S96" cm="1">
        <f t="array" ref="S96">_xlfn.LET(
  _xlpm.y,$E96,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6" t="str">
        <f>主翼翼型4!$C$3</f>
        <v>QX0026 v32.dat</v>
      </c>
      <c r="U96" cm="1">
        <f t="array" ref="U96">_xlfn.LET(
  _xlpm.y,$E96,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6" t="str">
        <f>主翼翼型5!$C$3</f>
        <v>QX0026 v32.dat</v>
      </c>
      <c r="W96" cm="1">
        <f t="array" ref="W96">_xlfn.LET(
  _xlpm.y,$E96,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6" s="233">
        <f t="shared" si="30"/>
        <v>3.6997483161721093E-2</v>
      </c>
      <c r="Y96" s="233">
        <f t="shared" si="52"/>
        <v>1.1502680520474704E-3</v>
      </c>
      <c r="Z96" s="233">
        <f t="shared" si="31"/>
        <v>8.3999999999999995E-5</v>
      </c>
      <c r="AA96" s="233">
        <f t="shared" si="53"/>
        <v>3.591526789579315E-4</v>
      </c>
      <c r="AB96" s="233">
        <f t="shared" si="32"/>
        <v>2.0000000000000002E-5</v>
      </c>
      <c r="AC96" s="233">
        <f t="shared" si="33"/>
        <v>2.5898238213204768E-4</v>
      </c>
      <c r="AD96">
        <f t="shared" si="54"/>
        <v>1.7254020780712055E-4</v>
      </c>
      <c r="AE96">
        <f t="shared" si="55"/>
        <v>1.26E-5</v>
      </c>
      <c r="AF96">
        <f t="shared" si="34"/>
        <v>2.5140687527055204E-6</v>
      </c>
      <c r="AG96">
        <f t="shared" si="35"/>
        <v>3.0000000000000001E-6</v>
      </c>
      <c r="AH96" t="str">
        <f t="shared" si="82"/>
        <v/>
      </c>
      <c r="AI96" t="str">
        <f t="shared" si="56"/>
        <v/>
      </c>
      <c r="AJ96" t="str">
        <f t="shared" si="83"/>
        <v/>
      </c>
      <c r="AK96" t="str">
        <f t="shared" si="84"/>
        <v/>
      </c>
      <c r="AL96" t="str">
        <f t="shared" si="57"/>
        <v/>
      </c>
      <c r="AM96" t="str">
        <f t="shared" si="85"/>
        <v/>
      </c>
      <c r="AN96" t="str">
        <f t="shared" si="58"/>
        <v/>
      </c>
      <c r="AO96" s="146"/>
      <c r="AP96" t="str">
        <f t="shared" si="59"/>
        <v/>
      </c>
      <c r="AQ96" t="str">
        <f t="shared" si="60"/>
        <v/>
      </c>
      <c r="AR96" t="str">
        <f t="shared" si="61"/>
        <v/>
      </c>
      <c r="AS96" t="str">
        <f t="shared" si="62"/>
        <v/>
      </c>
      <c r="AT96" t="str">
        <f t="shared" si="63"/>
        <v/>
      </c>
      <c r="AU96" t="str">
        <f t="shared" si="64"/>
        <v/>
      </c>
      <c r="AV96" t="str">
        <f t="shared" si="40"/>
        <v/>
      </c>
      <c r="AW96" s="146"/>
      <c r="AX96">
        <f t="shared" si="65"/>
        <v>6.9925243175652874E-3</v>
      </c>
      <c r="AY96">
        <f t="shared" si="66"/>
        <v>1.4665917663605246E-2</v>
      </c>
      <c r="AZ96">
        <f t="shared" si="67"/>
        <v>1.2821750638798155E-3</v>
      </c>
      <c r="BA96">
        <f t="shared" si="68"/>
        <v>3.7711031290582806E-3</v>
      </c>
      <c r="BB96">
        <f t="shared" si="69"/>
        <v>4.5000000000000005E-3</v>
      </c>
      <c r="BC96">
        <f t="shared" si="70"/>
        <v>1.4513450866115694E-2</v>
      </c>
      <c r="BD96">
        <f t="shared" si="41"/>
        <v>6.0502306915579092E-3</v>
      </c>
      <c r="BE96" s="146"/>
      <c r="BF96" t="str">
        <f t="shared" si="71"/>
        <v/>
      </c>
      <c r="BG96" t="str">
        <f t="shared" si="72"/>
        <v/>
      </c>
      <c r="BH96" t="str">
        <f t="shared" si="73"/>
        <v/>
      </c>
      <c r="BI96" t="str">
        <f t="shared" si="74"/>
        <v/>
      </c>
      <c r="BJ96" t="str">
        <f t="shared" si="75"/>
        <v/>
      </c>
      <c r="BK96" t="str">
        <f t="shared" si="76"/>
        <v/>
      </c>
      <c r="BL96" t="str">
        <f t="shared" si="42"/>
        <v/>
      </c>
      <c r="BM96" s="146"/>
      <c r="BN96" t="str">
        <f t="shared" si="43"/>
        <v/>
      </c>
      <c r="BO96" t="str">
        <f t="shared" si="44"/>
        <v/>
      </c>
      <c r="BP96" t="str">
        <f t="shared" si="77"/>
        <v/>
      </c>
      <c r="BQ96" t="str">
        <f t="shared" si="78"/>
        <v/>
      </c>
      <c r="BR96" t="str">
        <f t="shared" si="79"/>
        <v/>
      </c>
      <c r="BS96" t="str">
        <f t="shared" si="80"/>
        <v/>
      </c>
      <c r="BT96" t="str">
        <f t="shared" si="81"/>
        <v/>
      </c>
      <c r="BU96" t="str">
        <f t="shared" si="45"/>
        <v/>
      </c>
      <c r="BV96" t="str">
        <f t="shared" si="46"/>
        <v/>
      </c>
      <c r="BW96">
        <f>'主翼(桁)'!BG93</f>
        <v>9.4496439466229445E-2</v>
      </c>
      <c r="BX96">
        <f t="shared" si="47"/>
        <v>5.1775401731782231E-2</v>
      </c>
      <c r="BY96">
        <f t="shared" si="48"/>
        <v>0.14627184119801168</v>
      </c>
      <c r="CA96">
        <f t="shared" si="49"/>
        <v>53.185233185196601</v>
      </c>
      <c r="CB96">
        <f t="shared" si="50"/>
        <v>4.8842645483839217E-3</v>
      </c>
      <c r="CC96">
        <f t="shared" si="51"/>
        <v>53.180348920648214</v>
      </c>
      <c r="CE96" s="49">
        <f>BY96*パラメーター!$D$5</f>
        <v>1.4330252282169205</v>
      </c>
    </row>
    <row r="97" spans="4:83">
      <c r="D97">
        <f>'主翼(型紙出力)'!B100</f>
        <v>49</v>
      </c>
      <c r="E97">
        <f>'主翼(型紙出力)'!AP100</f>
        <v>7.4420145522091365</v>
      </c>
      <c r="F97">
        <f>'主翼(型紙出力)'!AQ100</f>
        <v>0.3026957743257041</v>
      </c>
      <c r="G97">
        <f>'主翼(型紙出力)'!E100</f>
        <v>0.15</v>
      </c>
      <c r="H97">
        <f>'主翼(型紙出力)'!D100/1000</f>
        <v>0.75050909090909057</v>
      </c>
      <c r="I97" t="str">
        <f>'主翼(型紙出力)'!H100</f>
        <v>full</v>
      </c>
      <c r="J97" t="str">
        <f>'主翼(型紙出力)'!G100</f>
        <v>2番</v>
      </c>
      <c r="K97">
        <f>'主翼(型紙出力)'!L100</f>
        <v>104.99821589147636</v>
      </c>
      <c r="L97">
        <f>'主翼(型紙出力)'!I100</f>
        <v>78.667999999999964</v>
      </c>
      <c r="M97">
        <f>'主翼(型紙出力)'!M100</f>
        <v>26.330215891476399</v>
      </c>
      <c r="N97" t="str">
        <f>主翼翼型1!$C$3</f>
        <v>QX0026 root.dat</v>
      </c>
      <c r="O97" cm="1">
        <f t="array" ref="O97">_xlfn.LET(
  _xlpm.y,$E97,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7" t="str">
        <f>主翼翼型2!$C$3</f>
        <v>QX0226.dat</v>
      </c>
      <c r="Q97" cm="1">
        <f t="array" ref="Q97">_xlfn.LET(
  _xlpm.y,$E97,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7" t="str">
        <f>主翼翼型3!$C$3</f>
        <v>QX0126.dat</v>
      </c>
      <c r="S97" cm="1">
        <f t="array" ref="S97">_xlfn.LET(
  _xlpm.y,$E97,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7" t="str">
        <f>主翼翼型4!$C$3</f>
        <v>QX0026 v32.dat</v>
      </c>
      <c r="U97" cm="1">
        <f t="array" ref="U97">_xlfn.LET(
  _xlpm.y,$E97,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7" t="str">
        <f>主翼翼型5!$C$3</f>
        <v>QX0026 v32.dat</v>
      </c>
      <c r="W97" cm="1">
        <f t="array" ref="W97">_xlfn.LET(
  _xlpm.y,$E97,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7" s="233">
        <f t="shared" si="30"/>
        <v>5.3589038411327145E-2</v>
      </c>
      <c r="Y97" s="233">
        <f t="shared" si="52"/>
        <v>1.1373727938584649E-3</v>
      </c>
      <c r="Z97" s="233">
        <f t="shared" si="31"/>
        <v>8.3999999999999995E-5</v>
      </c>
      <c r="AA97" s="233">
        <f t="shared" si="53"/>
        <v>3.5512634221303833E-4</v>
      </c>
      <c r="AB97" s="233">
        <f t="shared" si="32"/>
        <v>2.0000000000000002E-5</v>
      </c>
      <c r="AC97" s="233">
        <f t="shared" si="33"/>
        <v>3.7512326887929003E-4</v>
      </c>
      <c r="AD97">
        <f t="shared" si="54"/>
        <v>1.7060591907876971E-4</v>
      </c>
      <c r="AE97">
        <f t="shared" si="55"/>
        <v>1.26E-5</v>
      </c>
      <c r="AF97">
        <f t="shared" si="34"/>
        <v>2.4858843954912686E-6</v>
      </c>
      <c r="AG97">
        <f t="shared" si="35"/>
        <v>3.0000000000000001E-6</v>
      </c>
      <c r="AH97" t="str">
        <f t="shared" si="82"/>
        <v/>
      </c>
      <c r="AI97" t="str">
        <f t="shared" si="56"/>
        <v/>
      </c>
      <c r="AJ97" t="str">
        <f t="shared" si="83"/>
        <v/>
      </c>
      <c r="AK97" t="str">
        <f t="shared" si="84"/>
        <v/>
      </c>
      <c r="AL97" t="str">
        <f t="shared" si="57"/>
        <v/>
      </c>
      <c r="AM97" t="str">
        <f t="shared" si="85"/>
        <v/>
      </c>
      <c r="AN97" t="str">
        <f t="shared" si="58"/>
        <v/>
      </c>
      <c r="AO97" s="146"/>
      <c r="AP97" t="str">
        <f t="shared" si="59"/>
        <v/>
      </c>
      <c r="AQ97" t="str">
        <f t="shared" si="60"/>
        <v/>
      </c>
      <c r="AR97" t="str">
        <f t="shared" si="61"/>
        <v/>
      </c>
      <c r="AS97" t="str">
        <f t="shared" si="62"/>
        <v/>
      </c>
      <c r="AT97" t="str">
        <f t="shared" si="63"/>
        <v/>
      </c>
      <c r="AU97" t="str">
        <f t="shared" si="64"/>
        <v/>
      </c>
      <c r="AV97" t="str">
        <f t="shared" si="40"/>
        <v/>
      </c>
      <c r="AW97" s="146"/>
      <c r="AX97">
        <f t="shared" si="65"/>
        <v>1.012832825974083E-2</v>
      </c>
      <c r="AY97">
        <f t="shared" si="66"/>
        <v>1.4501503121695425E-2</v>
      </c>
      <c r="AZ97">
        <f t="shared" si="67"/>
        <v>1.2678010417005469E-3</v>
      </c>
      <c r="BA97">
        <f t="shared" si="68"/>
        <v>3.7288265932369029E-3</v>
      </c>
      <c r="BB97">
        <f t="shared" si="69"/>
        <v>4.5000000000000005E-3</v>
      </c>
      <c r="BC97">
        <f t="shared" si="70"/>
        <v>1.4353297398347103E-2</v>
      </c>
      <c r="BD97">
        <f t="shared" si="41"/>
        <v>6.0502306915579092E-3</v>
      </c>
      <c r="BE97" s="146"/>
      <c r="BF97" t="str">
        <f t="shared" si="71"/>
        <v/>
      </c>
      <c r="BG97" t="str">
        <f t="shared" si="72"/>
        <v/>
      </c>
      <c r="BH97" t="str">
        <f t="shared" si="73"/>
        <v/>
      </c>
      <c r="BI97" t="str">
        <f t="shared" si="74"/>
        <v/>
      </c>
      <c r="BJ97" t="str">
        <f t="shared" si="75"/>
        <v/>
      </c>
      <c r="BK97" t="str">
        <f t="shared" si="76"/>
        <v/>
      </c>
      <c r="BL97" t="str">
        <f t="shared" si="42"/>
        <v/>
      </c>
      <c r="BM97" s="146"/>
      <c r="BN97" t="str">
        <f t="shared" si="43"/>
        <v/>
      </c>
      <c r="BO97" t="str">
        <f t="shared" si="44"/>
        <v/>
      </c>
      <c r="BP97" t="str">
        <f t="shared" si="77"/>
        <v/>
      </c>
      <c r="BQ97" t="str">
        <f t="shared" si="78"/>
        <v/>
      </c>
      <c r="BR97" t="str">
        <f t="shared" si="79"/>
        <v/>
      </c>
      <c r="BS97" t="str">
        <f t="shared" si="80"/>
        <v/>
      </c>
      <c r="BT97" t="str">
        <f t="shared" si="81"/>
        <v/>
      </c>
      <c r="BU97" t="str">
        <f t="shared" si="45"/>
        <v/>
      </c>
      <c r="BV97" t="str">
        <f t="shared" si="46"/>
        <v/>
      </c>
      <c r="BW97">
        <f>'主翼(桁)'!BG94</f>
        <v>9.2831557932421455E-2</v>
      </c>
      <c r="BX97">
        <f t="shared" si="47"/>
        <v>5.4529987106278724E-2</v>
      </c>
      <c r="BY97">
        <f t="shared" si="48"/>
        <v>0.14736154503870019</v>
      </c>
      <c r="CA97">
        <f t="shared" si="49"/>
        <v>55.3902666130979</v>
      </c>
      <c r="CB97">
        <f t="shared" si="50"/>
        <v>6.6860178053445843E-3</v>
      </c>
      <c r="CC97">
        <f t="shared" si="51"/>
        <v>55.383580595292557</v>
      </c>
      <c r="CE97" s="49">
        <f>BY97*パラメーター!$D$5</f>
        <v>1.4437010567441459</v>
      </c>
    </row>
    <row r="98" spans="4:83">
      <c r="D98">
        <f>'主翼(型紙出力)'!B101</f>
        <v>50</v>
      </c>
      <c r="E98">
        <f>'主翼(型紙出力)'!AP101</f>
        <v>7.5906862417580392</v>
      </c>
      <c r="F98">
        <f>'主翼(型紙出力)'!AQ101</f>
        <v>0.32261382459862803</v>
      </c>
      <c r="G98">
        <f>'主翼(型紙出力)'!E101</f>
        <v>0.15</v>
      </c>
      <c r="H98">
        <f>'主翼(型紙出力)'!D101/1000</f>
        <v>0.74199999999999899</v>
      </c>
      <c r="I98" t="str">
        <f>'主翼(型紙出力)'!H101</f>
        <v>full</v>
      </c>
      <c r="J98" t="str">
        <f>'主翼(型紙出力)'!G101</f>
        <v>2番</v>
      </c>
      <c r="K98">
        <f>'主翼(型紙出力)'!L101</f>
        <v>103.80777146497287</v>
      </c>
      <c r="L98">
        <f>'主翼(型紙出力)'!I101</f>
        <v>77.302999999999955</v>
      </c>
      <c r="M98">
        <f>'主翼(型紙出力)'!M101</f>
        <v>26.504771464972919</v>
      </c>
      <c r="N98" t="str">
        <f>主翼翼型1!$C$3</f>
        <v>QX0026 root.dat</v>
      </c>
      <c r="O98" cm="1">
        <f t="array" ref="O98">_xlfn.LET(
  _xlpm.y,$E98,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8" t="str">
        <f>主翼翼型2!$C$3</f>
        <v>QX0226.dat</v>
      </c>
      <c r="Q98" cm="1">
        <f t="array" ref="Q98">_xlfn.LET(
  _xlpm.y,$E98,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8" t="str">
        <f>主翼翼型3!$C$3</f>
        <v>QX0126.dat</v>
      </c>
      <c r="S98" cm="1">
        <f t="array" ref="S98">_xlfn.LET(
  _xlpm.y,$E98,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8" t="str">
        <f>主翼翼型4!$C$3</f>
        <v>QX0026 v32.dat</v>
      </c>
      <c r="U98" cm="1">
        <f t="array" ref="U98">_xlfn.LET(
  _xlpm.y,$E98,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8" t="str">
        <f>主翼翼型5!$C$3</f>
        <v>QX0026 v32.dat</v>
      </c>
      <c r="W98" cm="1">
        <f t="array" ref="W98">_xlfn.LET(
  _xlpm.y,$E98,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8" s="233">
        <f t="shared" si="30"/>
        <v>5.2380767838413354E-2</v>
      </c>
      <c r="Y98" s="233">
        <f t="shared" si="52"/>
        <v>1.1244775356694585E-3</v>
      </c>
      <c r="Z98" s="233">
        <f t="shared" si="31"/>
        <v>8.3999999999999995E-5</v>
      </c>
      <c r="AA98" s="233">
        <f t="shared" si="53"/>
        <v>3.5110000546814479E-4</v>
      </c>
      <c r="AB98" s="233">
        <f t="shared" si="32"/>
        <v>2.0000000000000002E-5</v>
      </c>
      <c r="AC98" s="233">
        <f t="shared" si="33"/>
        <v>3.6666537486889348E-4</v>
      </c>
      <c r="AD98">
        <f t="shared" si="54"/>
        <v>1.6867163035041877E-4</v>
      </c>
      <c r="AE98">
        <f t="shared" si="55"/>
        <v>1.26E-5</v>
      </c>
      <c r="AF98">
        <f t="shared" si="34"/>
        <v>2.4577000382770134E-6</v>
      </c>
      <c r="AG98">
        <f t="shared" si="35"/>
        <v>3.0000000000000001E-6</v>
      </c>
      <c r="AH98" t="str">
        <f t="shared" si="82"/>
        <v/>
      </c>
      <c r="AI98" t="str">
        <f t="shared" si="56"/>
        <v/>
      </c>
      <c r="AJ98" t="str">
        <f t="shared" si="83"/>
        <v/>
      </c>
      <c r="AK98" t="str">
        <f t="shared" si="84"/>
        <v/>
      </c>
      <c r="AL98" t="str">
        <f t="shared" si="57"/>
        <v/>
      </c>
      <c r="AM98" t="str">
        <f t="shared" si="85"/>
        <v/>
      </c>
      <c r="AN98" t="str">
        <f t="shared" si="58"/>
        <v/>
      </c>
      <c r="AO98" s="146"/>
      <c r="AP98" t="str">
        <f t="shared" si="59"/>
        <v/>
      </c>
      <c r="AQ98" t="str">
        <f t="shared" si="60"/>
        <v/>
      </c>
      <c r="AR98" t="str">
        <f t="shared" si="61"/>
        <v/>
      </c>
      <c r="AS98" t="str">
        <f t="shared" si="62"/>
        <v/>
      </c>
      <c r="AT98" t="str">
        <f t="shared" si="63"/>
        <v/>
      </c>
      <c r="AU98" t="str">
        <f t="shared" si="64"/>
        <v/>
      </c>
      <c r="AV98" t="str">
        <f t="shared" si="40"/>
        <v/>
      </c>
      <c r="AW98" s="146"/>
      <c r="AX98">
        <f t="shared" si="65"/>
        <v>9.8999651214601234E-3</v>
      </c>
      <c r="AY98">
        <f t="shared" si="66"/>
        <v>1.4337088579785596E-2</v>
      </c>
      <c r="AZ98">
        <f t="shared" si="67"/>
        <v>1.2534270195212768E-3</v>
      </c>
      <c r="BA98">
        <f t="shared" si="68"/>
        <v>3.6865500574155201E-3</v>
      </c>
      <c r="BB98">
        <f t="shared" si="69"/>
        <v>4.5000000000000005E-3</v>
      </c>
      <c r="BC98">
        <f t="shared" si="70"/>
        <v>1.4194229999999981E-2</v>
      </c>
      <c r="BD98">
        <f t="shared" si="41"/>
        <v>6.0502306915579092E-3</v>
      </c>
      <c r="BE98" s="146"/>
      <c r="BF98" t="str">
        <f t="shared" si="71"/>
        <v/>
      </c>
      <c r="BG98" t="str">
        <f t="shared" si="72"/>
        <v/>
      </c>
      <c r="BH98" t="str">
        <f t="shared" si="73"/>
        <v/>
      </c>
      <c r="BI98" t="str">
        <f t="shared" si="74"/>
        <v/>
      </c>
      <c r="BJ98" t="str">
        <f t="shared" si="75"/>
        <v/>
      </c>
      <c r="BK98" t="str">
        <f t="shared" si="76"/>
        <v/>
      </c>
      <c r="BL98" t="str">
        <f t="shared" si="42"/>
        <v/>
      </c>
      <c r="BM98" s="146"/>
      <c r="BN98" t="str">
        <f t="shared" si="43"/>
        <v/>
      </c>
      <c r="BO98" t="str">
        <f t="shared" si="44"/>
        <v/>
      </c>
      <c r="BP98" t="str">
        <f t="shared" si="77"/>
        <v/>
      </c>
      <c r="BQ98" t="str">
        <f t="shared" si="78"/>
        <v/>
      </c>
      <c r="BR98" t="str">
        <f t="shared" si="79"/>
        <v/>
      </c>
      <c r="BS98" t="str">
        <f t="shared" si="80"/>
        <v/>
      </c>
      <c r="BT98" t="str">
        <f t="shared" si="81"/>
        <v/>
      </c>
      <c r="BU98" t="str">
        <f t="shared" si="45"/>
        <v/>
      </c>
      <c r="BV98" t="str">
        <f t="shared" si="46"/>
        <v/>
      </c>
      <c r="BW98">
        <f>'主翼(桁)'!BG95</f>
        <v>9.1166676398613478E-2</v>
      </c>
      <c r="BX98">
        <f t="shared" si="47"/>
        <v>5.3921491469740408E-2</v>
      </c>
      <c r="BY98">
        <f t="shared" si="48"/>
        <v>0.14508816786835388</v>
      </c>
      <c r="CA98">
        <f t="shared" si="49"/>
        <v>57.628857688534801</v>
      </c>
      <c r="CB98">
        <f t="shared" si="50"/>
        <v>1.0340067720013453E-2</v>
      </c>
      <c r="CC98">
        <f t="shared" si="51"/>
        <v>57.618517620814785</v>
      </c>
      <c r="CE98" s="49">
        <f>BY98*パラメーター!$D$5</f>
        <v>1.4214287806062631</v>
      </c>
    </row>
    <row r="99" spans="4:83">
      <c r="D99">
        <f>'主翼(型紙出力)'!B102</f>
        <v>51</v>
      </c>
      <c r="E99">
        <f>'主翼(型紙出力)'!AP102</f>
        <v>7.7380696629491608</v>
      </c>
      <c r="F99">
        <f>'主翼(型紙出力)'!AQ102</f>
        <v>0.3505087552850526</v>
      </c>
      <c r="G99">
        <f>'主翼(型紙出力)'!E102</f>
        <v>0.15</v>
      </c>
      <c r="H99">
        <f>'主翼(型紙出力)'!D102/1000</f>
        <v>0.72352631578947268</v>
      </c>
      <c r="I99" t="str">
        <f>'主翼(型紙出力)'!H102</f>
        <v>full</v>
      </c>
      <c r="J99" t="str">
        <f>'主翼(型紙出力)'!G102</f>
        <v>2番</v>
      </c>
      <c r="K99">
        <f>'主翼(型紙出力)'!L102</f>
        <v>101.22325396006397</v>
      </c>
      <c r="L99">
        <f>'主翼(型紙出力)'!I102</f>
        <v>75.93799999999996</v>
      </c>
      <c r="M99">
        <f>'主翼(型紙出力)'!M102</f>
        <v>25.285253960064011</v>
      </c>
      <c r="N99" t="str">
        <f>主翼翼型1!$C$3</f>
        <v>QX0026 root.dat</v>
      </c>
      <c r="O99" cm="1">
        <f t="array" ref="O99">_xlfn.LET(
  _xlpm.y,$E99,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9" t="str">
        <f>主翼翼型2!$C$3</f>
        <v>QX0226.dat</v>
      </c>
      <c r="Q99" cm="1">
        <f t="array" ref="Q99">_xlfn.LET(
  _xlpm.y,$E99,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9" t="str">
        <f>主翼翼型3!$C$3</f>
        <v>QX0126.dat</v>
      </c>
      <c r="S99" cm="1">
        <f t="array" ref="S99">_xlfn.LET(
  _xlpm.y,$E99,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9" t="str">
        <f>主翼翼型4!$C$3</f>
        <v>QX0026 v32.dat</v>
      </c>
      <c r="U99" cm="1">
        <f t="array" ref="U99">_xlfn.LET(
  _xlpm.y,$E99,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9" t="str">
        <f>主翼翼型5!$C$3</f>
        <v>QX0026 v32.dat</v>
      </c>
      <c r="W99" cm="1">
        <f t="array" ref="W99">_xlfn.LET(
  _xlpm.y,$E99,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9" s="233">
        <f t="shared" si="30"/>
        <v>4.9804973486318599E-2</v>
      </c>
      <c r="Y99" s="233">
        <f t="shared" si="52"/>
        <v>1.0964812514433287E-3</v>
      </c>
      <c r="Z99" s="233">
        <f t="shared" si="31"/>
        <v>8.3999999999999995E-5</v>
      </c>
      <c r="AA99" s="233">
        <f t="shared" si="53"/>
        <v>3.4235861648252135E-4</v>
      </c>
      <c r="AB99" s="233">
        <f t="shared" si="32"/>
        <v>2.0000000000000002E-5</v>
      </c>
      <c r="AC99" s="233">
        <f t="shared" si="33"/>
        <v>3.4863481440423021E-4</v>
      </c>
      <c r="AD99">
        <f t="shared" si="54"/>
        <v>1.6447218771649931E-4</v>
      </c>
      <c r="AE99">
        <f t="shared" si="55"/>
        <v>1.26E-5</v>
      </c>
      <c r="AF99">
        <f t="shared" si="34"/>
        <v>2.3965103153776497E-6</v>
      </c>
      <c r="AG99">
        <f t="shared" si="35"/>
        <v>3.0000000000000001E-6</v>
      </c>
      <c r="AH99" t="str">
        <f t="shared" si="82"/>
        <v/>
      </c>
      <c r="AI99" t="str">
        <f t="shared" si="56"/>
        <v/>
      </c>
      <c r="AJ99" t="str">
        <f t="shared" si="83"/>
        <v/>
      </c>
      <c r="AK99" t="str">
        <f t="shared" si="84"/>
        <v/>
      </c>
      <c r="AL99" t="str">
        <f t="shared" si="57"/>
        <v/>
      </c>
      <c r="AM99" t="str">
        <f t="shared" si="85"/>
        <v/>
      </c>
      <c r="AN99" t="str">
        <f t="shared" si="58"/>
        <v/>
      </c>
      <c r="AO99" s="146"/>
      <c r="AP99" t="str">
        <f t="shared" si="59"/>
        <v/>
      </c>
      <c r="AQ99" t="str">
        <f t="shared" si="60"/>
        <v/>
      </c>
      <c r="AR99" t="str">
        <f t="shared" si="61"/>
        <v/>
      </c>
      <c r="AS99" t="str">
        <f t="shared" si="62"/>
        <v/>
      </c>
      <c r="AT99" t="str">
        <f t="shared" si="63"/>
        <v/>
      </c>
      <c r="AU99" t="str">
        <f t="shared" si="64"/>
        <v/>
      </c>
      <c r="AV99" t="str">
        <f t="shared" si="40"/>
        <v/>
      </c>
      <c r="AW99" s="146"/>
      <c r="AX99">
        <f t="shared" si="65"/>
        <v>9.4131399889142153E-3</v>
      </c>
      <c r="AY99">
        <f t="shared" si="66"/>
        <v>1.3980135955902442E-2</v>
      </c>
      <c r="AZ99">
        <f t="shared" si="67"/>
        <v>1.2222202608426014E-3</v>
      </c>
      <c r="BA99">
        <f t="shared" si="68"/>
        <v>3.5947654730664746E-3</v>
      </c>
      <c r="BB99">
        <f t="shared" si="69"/>
        <v>4.5000000000000005E-3</v>
      </c>
      <c r="BC99">
        <f t="shared" si="70"/>
        <v>1.3852624840720203E-2</v>
      </c>
      <c r="BD99">
        <f t="shared" si="41"/>
        <v>6.0502306915579092E-3</v>
      </c>
      <c r="BE99" s="146"/>
      <c r="BF99" t="str">
        <f t="shared" si="71"/>
        <v/>
      </c>
      <c r="BG99" t="str">
        <f t="shared" si="72"/>
        <v/>
      </c>
      <c r="BH99" t="str">
        <f t="shared" si="73"/>
        <v/>
      </c>
      <c r="BI99" t="str">
        <f t="shared" si="74"/>
        <v/>
      </c>
      <c r="BJ99" t="str">
        <f t="shared" si="75"/>
        <v/>
      </c>
      <c r="BK99" t="str">
        <f t="shared" si="76"/>
        <v/>
      </c>
      <c r="BL99" t="str">
        <f t="shared" si="42"/>
        <v/>
      </c>
      <c r="BM99" s="146"/>
      <c r="BN99" t="str">
        <f t="shared" si="43"/>
        <v/>
      </c>
      <c r="BO99" t="str">
        <f t="shared" si="44"/>
        <v/>
      </c>
      <c r="BP99" t="str">
        <f t="shared" si="77"/>
        <v/>
      </c>
      <c r="BQ99" t="str">
        <f t="shared" si="78"/>
        <v/>
      </c>
      <c r="BR99" t="str">
        <f t="shared" si="79"/>
        <v/>
      </c>
      <c r="BS99" t="str">
        <f t="shared" si="80"/>
        <v/>
      </c>
      <c r="BT99" t="str">
        <f t="shared" si="81"/>
        <v/>
      </c>
      <c r="BU99" t="str">
        <f t="shared" si="45"/>
        <v/>
      </c>
      <c r="BV99" t="str">
        <f t="shared" si="46"/>
        <v/>
      </c>
      <c r="BW99">
        <f>'主翼(桁)'!BG96</f>
        <v>8.9501794864805584E-2</v>
      </c>
      <c r="BX99">
        <f t="shared" si="47"/>
        <v>5.2613117211003847E-2</v>
      </c>
      <c r="BY99">
        <f t="shared" si="48"/>
        <v>0.14211491207580942</v>
      </c>
      <c r="CA99">
        <f t="shared" si="49"/>
        <v>59.894513358267837</v>
      </c>
      <c r="CB99">
        <f t="shared" si="50"/>
        <v>1.6791249613694149E-2</v>
      </c>
      <c r="CC99">
        <f t="shared" si="51"/>
        <v>59.87772210865414</v>
      </c>
      <c r="CE99" s="49">
        <f>BY99*パラメーター!$D$5</f>
        <v>1.392299793606705</v>
      </c>
    </row>
    <row r="100" spans="4:83">
      <c r="D100">
        <f>'主翼(型紙出力)'!B103</f>
        <v>52</v>
      </c>
      <c r="E100">
        <f>'主翼(型紙出力)'!AP103</f>
        <v>7.8854112082867669</v>
      </c>
      <c r="F100">
        <f>'主翼(型紙出力)'!AQ103</f>
        <v>0.37862403613952789</v>
      </c>
      <c r="G100">
        <f>'主翼(型紙出力)'!E103</f>
        <v>0.15</v>
      </c>
      <c r="H100">
        <f>'主翼(型紙出力)'!D103/1000</f>
        <v>0.70505263157894638</v>
      </c>
      <c r="I100" t="str">
        <f>'主翼(型紙出力)'!H103</f>
        <v>half</v>
      </c>
      <c r="J100" t="str">
        <f>'主翼(型紙出力)'!G103</f>
        <v>2番</v>
      </c>
      <c r="K100">
        <f>'主翼(型紙出力)'!L103</f>
        <v>98.638736455155097</v>
      </c>
      <c r="L100">
        <f>'主翼(型紙出力)'!I103</f>
        <v>74.572999999999951</v>
      </c>
      <c r="M100">
        <f>'主翼(型紙出力)'!M103</f>
        <v>24.065736455155147</v>
      </c>
      <c r="N100" t="str">
        <f>主翼翼型1!$C$3</f>
        <v>QX0026 root.dat</v>
      </c>
      <c r="O100" cm="1">
        <f t="array" ref="O100">_xlfn.LET(
  _xlpm.y,$E100,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0" t="str">
        <f>主翼翼型2!$C$3</f>
        <v>QX0226.dat</v>
      </c>
      <c r="Q100" cm="1">
        <f t="array" ref="Q100">_xlfn.LET(
  _xlpm.y,$E100,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100" t="str">
        <f>主翼翼型3!$C$3</f>
        <v>QX0126.dat</v>
      </c>
      <c r="S100" cm="1">
        <f t="array" ref="S100">_xlfn.LET(
  _xlpm.y,$E100,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00" t="str">
        <f>主翼翼型4!$C$3</f>
        <v>QX0026 v32.dat</v>
      </c>
      <c r="U100" cm="1">
        <f t="array" ref="U100">_xlfn.LET(
  _xlpm.y,$E100,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0" t="str">
        <f>主翼翼型5!$C$3</f>
        <v>QX0026 v32.dat</v>
      </c>
      <c r="W100" cm="1">
        <f t="array" ref="W100">_xlfn.LET(
  _xlpm.y,$E100,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0" s="233">
        <f t="shared" si="30"/>
        <v>3.192352928438328E-2</v>
      </c>
      <c r="Y100" s="233">
        <f t="shared" si="52"/>
        <v>1.0684849672171987E-3</v>
      </c>
      <c r="Z100" s="233">
        <f t="shared" si="31"/>
        <v>8.3999999999999995E-5</v>
      </c>
      <c r="AA100" s="233">
        <f t="shared" si="53"/>
        <v>3.3361722749689792E-4</v>
      </c>
      <c r="AB100" s="233">
        <f t="shared" si="32"/>
        <v>2.0000000000000002E-5</v>
      </c>
      <c r="AC100" s="233">
        <f t="shared" si="33"/>
        <v>2.2346470499068295E-4</v>
      </c>
      <c r="AD100">
        <f t="shared" si="54"/>
        <v>1.6027274508257979E-4</v>
      </c>
      <c r="AE100">
        <f t="shared" si="55"/>
        <v>1.26E-5</v>
      </c>
      <c r="AF100">
        <f t="shared" si="34"/>
        <v>2.3353205924782857E-6</v>
      </c>
      <c r="AG100">
        <f t="shared" si="35"/>
        <v>3.0000000000000001E-6</v>
      </c>
      <c r="AH100" t="str">
        <f t="shared" si="82"/>
        <v/>
      </c>
      <c r="AI100" t="str">
        <f t="shared" si="56"/>
        <v/>
      </c>
      <c r="AJ100" t="str">
        <f t="shared" si="83"/>
        <v/>
      </c>
      <c r="AK100" t="str">
        <f t="shared" si="84"/>
        <v/>
      </c>
      <c r="AL100" t="str">
        <f t="shared" si="57"/>
        <v/>
      </c>
      <c r="AM100" t="str">
        <f t="shared" si="85"/>
        <v/>
      </c>
      <c r="AN100" t="str">
        <f t="shared" si="58"/>
        <v/>
      </c>
      <c r="AO100" s="146"/>
      <c r="AP100" t="str">
        <f t="shared" si="59"/>
        <v/>
      </c>
      <c r="AQ100" t="str">
        <f t="shared" si="60"/>
        <v/>
      </c>
      <c r="AR100" t="str">
        <f t="shared" si="61"/>
        <v/>
      </c>
      <c r="AS100" t="str">
        <f t="shared" si="62"/>
        <v/>
      </c>
      <c r="AT100" t="str">
        <f t="shared" si="63"/>
        <v/>
      </c>
      <c r="AU100" t="str">
        <f t="shared" si="64"/>
        <v/>
      </c>
      <c r="AV100" t="str">
        <f t="shared" si="40"/>
        <v/>
      </c>
      <c r="AW100" s="146"/>
      <c r="AX100">
        <f t="shared" si="65"/>
        <v>6.0335470347484396E-3</v>
      </c>
      <c r="AY100">
        <f t="shared" si="66"/>
        <v>1.3623183332019282E-2</v>
      </c>
      <c r="AZ100">
        <f t="shared" si="67"/>
        <v>1.1910135021639258E-3</v>
      </c>
      <c r="BA100">
        <f t="shared" si="68"/>
        <v>3.5029808887174284E-3</v>
      </c>
      <c r="BB100">
        <f t="shared" si="69"/>
        <v>4.5000000000000005E-3</v>
      </c>
      <c r="BC100">
        <f t="shared" si="70"/>
        <v>1.3516138836565078E-2</v>
      </c>
      <c r="BD100">
        <f t="shared" si="41"/>
        <v>6.0502306915579092E-3</v>
      </c>
      <c r="BE100" s="146"/>
      <c r="BF100" t="str">
        <f t="shared" si="71"/>
        <v/>
      </c>
      <c r="BG100" t="str">
        <f t="shared" si="72"/>
        <v/>
      </c>
      <c r="BH100" t="str">
        <f t="shared" si="73"/>
        <v/>
      </c>
      <c r="BI100" t="str">
        <f t="shared" si="74"/>
        <v/>
      </c>
      <c r="BJ100" t="str">
        <f t="shared" si="75"/>
        <v/>
      </c>
      <c r="BK100" t="str">
        <f t="shared" si="76"/>
        <v/>
      </c>
      <c r="BL100" t="str">
        <f t="shared" si="42"/>
        <v/>
      </c>
      <c r="BM100" s="146"/>
      <c r="BN100" t="str">
        <f t="shared" si="43"/>
        <v/>
      </c>
      <c r="BO100" t="str">
        <f t="shared" si="44"/>
        <v/>
      </c>
      <c r="BP100" t="str">
        <f t="shared" si="77"/>
        <v/>
      </c>
      <c r="BQ100" t="str">
        <f t="shared" si="78"/>
        <v/>
      </c>
      <c r="BR100" t="str">
        <f t="shared" si="79"/>
        <v/>
      </c>
      <c r="BS100" t="str">
        <f t="shared" si="80"/>
        <v/>
      </c>
      <c r="BT100" t="str">
        <f t="shared" si="81"/>
        <v/>
      </c>
      <c r="BU100" t="str">
        <f t="shared" si="45"/>
        <v/>
      </c>
      <c r="BV100" t="str">
        <f t="shared" si="46"/>
        <v/>
      </c>
      <c r="BW100">
        <f>'主翼(桁)'!BG97</f>
        <v>8.783691333099708E-2</v>
      </c>
      <c r="BX100">
        <f t="shared" si="47"/>
        <v>4.8417094285772067E-2</v>
      </c>
      <c r="BY100">
        <f t="shared" si="48"/>
        <v>0.13625400761676915</v>
      </c>
      <c r="CA100">
        <f t="shared" si="49"/>
        <v>62.204578057871615</v>
      </c>
      <c r="CB100">
        <f t="shared" si="50"/>
        <v>2.4868134097050007E-2</v>
      </c>
      <c r="CC100">
        <f t="shared" si="51"/>
        <v>62.179709923774567</v>
      </c>
      <c r="CE100" s="49">
        <f>BY100*パラメーター!$D$5</f>
        <v>1.3348805126214873</v>
      </c>
    </row>
    <row r="101" spans="4:83">
      <c r="D101">
        <f>'主翼(型紙出力)'!B104</f>
        <v>53</v>
      </c>
      <c r="E101">
        <f>'主翼(型紙出力)'!AP104</f>
        <v>8.0327111185834923</v>
      </c>
      <c r="F101">
        <f>'主翼(型紙出力)'!AQ104</f>
        <v>0.40695663973638962</v>
      </c>
      <c r="G101">
        <f>'主翼(型紙出力)'!E104</f>
        <v>0.15</v>
      </c>
      <c r="H101">
        <f>'主翼(型紙出力)'!D104/1000</f>
        <v>0.68657894736842018</v>
      </c>
      <c r="I101" t="str">
        <f>'主翼(型紙出力)'!H104</f>
        <v>full</v>
      </c>
      <c r="J101" t="str">
        <f>'主翼(型紙出力)'!G104</f>
        <v>2番</v>
      </c>
      <c r="K101">
        <f>'主翼(型紙出力)'!L104</f>
        <v>96.054218950246209</v>
      </c>
      <c r="L101">
        <f>'主翼(型紙出力)'!I104</f>
        <v>73.207999999999956</v>
      </c>
      <c r="M101">
        <f>'主翼(型紙出力)'!M104</f>
        <v>22.846218950246254</v>
      </c>
      <c r="N101" t="str">
        <f>主翼翼型1!$C$3</f>
        <v>QX0026 root.dat</v>
      </c>
      <c r="O101" cm="1">
        <f t="array" ref="O101">_xlfn.LET(
  _xlpm.y,$E101,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1" t="str">
        <f>主翼翼型2!$C$3</f>
        <v>QX0226.dat</v>
      </c>
      <c r="Q101" cm="1">
        <f t="array" ref="Q101">_xlfn.LET(
  _xlpm.y,$E101,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101" t="str">
        <f>主翼翼型3!$C$3</f>
        <v>QX0126.dat</v>
      </c>
      <c r="S101" cm="1">
        <f t="array" ref="S101">_xlfn.LET(
  _xlpm.y,$E101,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01" t="str">
        <f>主翼翼型4!$C$3</f>
        <v>QX0026 v32.dat</v>
      </c>
      <c r="U101" cm="1">
        <f t="array" ref="U101">_xlfn.LET(
  _xlpm.y,$E101,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1" t="str">
        <f>主翼翼型5!$C$3</f>
        <v>QX0026 v32.dat</v>
      </c>
      <c r="W101" cm="1">
        <f t="array" ref="W101">_xlfn.LET(
  _xlpm.y,$E101,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1" s="233">
        <f t="shared" si="30"/>
        <v>4.4848199754494389E-2</v>
      </c>
      <c r="Y101" s="233">
        <f t="shared" si="52"/>
        <v>1.0404886829910689E-3</v>
      </c>
      <c r="Z101" s="233">
        <f t="shared" si="31"/>
        <v>8.3999999999999995E-5</v>
      </c>
      <c r="AA101" s="233">
        <f t="shared" si="53"/>
        <v>3.2487583851127454E-4</v>
      </c>
      <c r="AB101" s="233">
        <f t="shared" si="32"/>
        <v>2.0000000000000002E-5</v>
      </c>
      <c r="AC101" s="233">
        <f t="shared" si="33"/>
        <v>3.1393739828146074E-4</v>
      </c>
      <c r="AD101">
        <f t="shared" si="54"/>
        <v>1.5607330244866034E-4</v>
      </c>
      <c r="AE101">
        <f t="shared" si="55"/>
        <v>1.26E-5</v>
      </c>
      <c r="AF101">
        <f t="shared" si="34"/>
        <v>2.2741308695789221E-6</v>
      </c>
      <c r="AG101">
        <f t="shared" si="35"/>
        <v>3.0000000000000001E-6</v>
      </c>
      <c r="AH101" t="str">
        <f t="shared" si="82"/>
        <v/>
      </c>
      <c r="AI101" t="str">
        <f t="shared" si="56"/>
        <v/>
      </c>
      <c r="AJ101" t="str">
        <f t="shared" si="83"/>
        <v/>
      </c>
      <c r="AK101" t="str">
        <f t="shared" si="84"/>
        <v/>
      </c>
      <c r="AL101" t="str">
        <f t="shared" si="57"/>
        <v/>
      </c>
      <c r="AM101" t="str">
        <f t="shared" si="85"/>
        <v/>
      </c>
      <c r="AN101" t="str">
        <f t="shared" si="58"/>
        <v/>
      </c>
      <c r="AO101" s="146"/>
      <c r="AP101" t="str">
        <f t="shared" si="59"/>
        <v/>
      </c>
      <c r="AQ101" t="str">
        <f t="shared" si="60"/>
        <v/>
      </c>
      <c r="AR101" t="str">
        <f t="shared" si="61"/>
        <v/>
      </c>
      <c r="AS101" t="str">
        <f t="shared" si="62"/>
        <v/>
      </c>
      <c r="AT101" t="str">
        <f t="shared" si="63"/>
        <v/>
      </c>
      <c r="AU101" t="str">
        <f t="shared" si="64"/>
        <v/>
      </c>
      <c r="AV101" t="str">
        <f t="shared" si="40"/>
        <v/>
      </c>
      <c r="AW101" s="146"/>
      <c r="AX101">
        <f t="shared" si="65"/>
        <v>8.4763097535994394E-3</v>
      </c>
      <c r="AY101">
        <f t="shared" si="66"/>
        <v>1.3266230708136128E-2</v>
      </c>
      <c r="AZ101">
        <f t="shared" si="67"/>
        <v>1.1598067434852503E-3</v>
      </c>
      <c r="BA101">
        <f t="shared" si="68"/>
        <v>3.4111963043683829E-3</v>
      </c>
      <c r="BB101">
        <f t="shared" si="69"/>
        <v>4.5000000000000005E-3</v>
      </c>
      <c r="BC101">
        <f t="shared" si="70"/>
        <v>1.3184771987534611E-2</v>
      </c>
      <c r="BD101">
        <f t="shared" si="41"/>
        <v>6.0502306915579092E-3</v>
      </c>
      <c r="BE101" s="146"/>
      <c r="BF101" t="str">
        <f t="shared" si="71"/>
        <v/>
      </c>
      <c r="BG101" t="str">
        <f t="shared" si="72"/>
        <v/>
      </c>
      <c r="BH101" t="str">
        <f t="shared" si="73"/>
        <v/>
      </c>
      <c r="BI101" t="str">
        <f t="shared" si="74"/>
        <v/>
      </c>
      <c r="BJ101" t="str">
        <f t="shared" si="75"/>
        <v/>
      </c>
      <c r="BK101" t="str">
        <f t="shared" si="76"/>
        <v/>
      </c>
      <c r="BL101" t="str">
        <f t="shared" si="42"/>
        <v/>
      </c>
      <c r="BM101" s="146"/>
      <c r="BN101" t="str">
        <f t="shared" si="43"/>
        <v/>
      </c>
      <c r="BO101" t="str">
        <f t="shared" si="44"/>
        <v/>
      </c>
      <c r="BP101" t="str">
        <f t="shared" si="77"/>
        <v/>
      </c>
      <c r="BQ101" t="str">
        <f t="shared" si="78"/>
        <v/>
      </c>
      <c r="BR101" t="str">
        <f t="shared" si="79"/>
        <v/>
      </c>
      <c r="BS101" t="str">
        <f t="shared" si="80"/>
        <v/>
      </c>
      <c r="BT101" t="str">
        <f t="shared" si="81"/>
        <v/>
      </c>
      <c r="BU101" t="str">
        <f t="shared" si="45"/>
        <v/>
      </c>
      <c r="BV101" t="str">
        <f t="shared" si="46"/>
        <v/>
      </c>
      <c r="BW101">
        <f>'主翼(桁)'!BG98</f>
        <v>8.6172031797189602E-2</v>
      </c>
      <c r="BX101">
        <f t="shared" si="47"/>
        <v>5.0048546188681722E-2</v>
      </c>
      <c r="BY101">
        <f t="shared" si="48"/>
        <v>0.13622057798587134</v>
      </c>
      <c r="CA101">
        <f t="shared" si="49"/>
        <v>64.559054680639363</v>
      </c>
      <c r="CB101">
        <f t="shared" si="50"/>
        <v>3.4606766024515706E-2</v>
      </c>
      <c r="CC101">
        <f t="shared" si="51"/>
        <v>64.524447914614854</v>
      </c>
      <c r="CE101" s="49">
        <f>BY101*パラメーター!$D$5</f>
        <v>1.3345530025275816</v>
      </c>
    </row>
    <row r="102" spans="4:83">
      <c r="D102">
        <f>'主翼(型紙出力)'!B105</f>
        <v>54</v>
      </c>
      <c r="E102">
        <f>'主翼(型紙出力)'!AP105</f>
        <v>8.1799696630483094</v>
      </c>
      <c r="F102">
        <f>'主翼(型紙出力)'!AQ105</f>
        <v>0.43550346236349902</v>
      </c>
      <c r="G102">
        <f>'主翼(型紙出力)'!E105</f>
        <v>0.15</v>
      </c>
      <c r="H102">
        <f>'主翼(型紙出力)'!D105/1000</f>
        <v>0.66810526315789387</v>
      </c>
      <c r="I102" t="str">
        <f>'主翼(型紙出力)'!H105</f>
        <v>half</v>
      </c>
      <c r="J102" t="str">
        <f>'主翼(型紙出力)'!G105</f>
        <v>2番</v>
      </c>
      <c r="K102">
        <f>'主翼(型紙出力)'!L105</f>
        <v>93.46970144533735</v>
      </c>
      <c r="L102">
        <f>'主翼(型紙出力)'!I105</f>
        <v>71.842999999999947</v>
      </c>
      <c r="M102">
        <f>'主翼(型紙出力)'!M105</f>
        <v>21.626701445337403</v>
      </c>
      <c r="N102" t="str">
        <f>主翼翼型1!$C$3</f>
        <v>QX0026 root.dat</v>
      </c>
      <c r="O102" cm="1">
        <f t="array" ref="O102">_xlfn.LET(
  _xlpm.y,$E102,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2" t="str">
        <f>主翼翼型2!$C$3</f>
        <v>QX0226.dat</v>
      </c>
      <c r="Q102" cm="1">
        <f t="array" ref="Q102">_xlfn.LET(
  _xlpm.y,$E102,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102" t="str">
        <f>主翼翼型3!$C$3</f>
        <v>QX0126.dat</v>
      </c>
      <c r="S102" cm="1">
        <f t="array" ref="S102">_xlfn.LET(
  _xlpm.y,$E102,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02" t="str">
        <f>主翼翼型4!$C$3</f>
        <v>QX0026 v32.dat</v>
      </c>
      <c r="U102" cm="1">
        <f t="array" ref="U102">_xlfn.LET(
  _xlpm.y,$E102,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2" t="str">
        <f>主翼翼型5!$C$3</f>
        <v>QX0026 v32.dat</v>
      </c>
      <c r="W102" cm="1">
        <f t="array" ref="W102">_xlfn.LET(
  _xlpm.y,$E102,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2" s="233">
        <f t="shared" si="30"/>
        <v>2.8665373752966322E-2</v>
      </c>
      <c r="Y102" s="233">
        <f t="shared" si="52"/>
        <v>1.0124923987649389E-3</v>
      </c>
      <c r="Z102" s="233">
        <f t="shared" si="31"/>
        <v>8.3999999999999995E-5</v>
      </c>
      <c r="AA102" s="233">
        <f t="shared" si="53"/>
        <v>3.1613444952565117E-4</v>
      </c>
      <c r="AB102" s="233">
        <f t="shared" si="32"/>
        <v>2.0000000000000002E-5</v>
      </c>
      <c r="AC102" s="233">
        <f t="shared" si="33"/>
        <v>2.0065761627076426E-4</v>
      </c>
      <c r="AD102">
        <f t="shared" si="54"/>
        <v>1.5187385981474082E-4</v>
      </c>
      <c r="AE102">
        <f t="shared" si="55"/>
        <v>1.26E-5</v>
      </c>
      <c r="AF102">
        <f t="shared" si="34"/>
        <v>2.212941146679558E-6</v>
      </c>
      <c r="AG102">
        <f t="shared" si="35"/>
        <v>3.0000000000000001E-6</v>
      </c>
      <c r="AH102" t="str">
        <f t="shared" si="82"/>
        <v/>
      </c>
      <c r="AI102" t="str">
        <f t="shared" si="56"/>
        <v/>
      </c>
      <c r="AJ102" t="str">
        <f t="shared" si="83"/>
        <v/>
      </c>
      <c r="AK102" t="str">
        <f t="shared" si="84"/>
        <v/>
      </c>
      <c r="AL102" t="str">
        <f t="shared" si="57"/>
        <v/>
      </c>
      <c r="AM102" t="str">
        <f t="shared" si="85"/>
        <v/>
      </c>
      <c r="AN102" t="str">
        <f t="shared" si="58"/>
        <v/>
      </c>
      <c r="AO102" s="146"/>
      <c r="AP102" t="str">
        <f t="shared" si="59"/>
        <v/>
      </c>
      <c r="AQ102" t="str">
        <f t="shared" si="60"/>
        <v/>
      </c>
      <c r="AR102" t="str">
        <f t="shared" si="61"/>
        <v/>
      </c>
      <c r="AS102" t="str">
        <f t="shared" si="62"/>
        <v/>
      </c>
      <c r="AT102" t="str">
        <f t="shared" si="63"/>
        <v/>
      </c>
      <c r="AU102" t="str">
        <f t="shared" si="64"/>
        <v/>
      </c>
      <c r="AV102" t="str">
        <f t="shared" si="40"/>
        <v/>
      </c>
      <c r="AW102" s="146"/>
      <c r="AX102">
        <f t="shared" si="65"/>
        <v>5.4177556393106355E-3</v>
      </c>
      <c r="AY102">
        <f t="shared" si="66"/>
        <v>1.2909278084252971E-2</v>
      </c>
      <c r="AZ102">
        <f t="shared" si="67"/>
        <v>1.1285999848065745E-3</v>
      </c>
      <c r="BA102">
        <f t="shared" si="68"/>
        <v>3.3194117200193371E-3</v>
      </c>
      <c r="BB102">
        <f t="shared" si="69"/>
        <v>4.5000000000000005E-3</v>
      </c>
      <c r="BC102">
        <f t="shared" si="70"/>
        <v>1.2858524293628795E-2</v>
      </c>
      <c r="BD102">
        <f t="shared" si="41"/>
        <v>6.0502306915579092E-3</v>
      </c>
      <c r="BE102" s="146"/>
      <c r="BF102" t="str">
        <f t="shared" si="71"/>
        <v/>
      </c>
      <c r="BG102" t="str">
        <f t="shared" si="72"/>
        <v/>
      </c>
      <c r="BH102" t="str">
        <f t="shared" si="73"/>
        <v/>
      </c>
      <c r="BI102" t="str">
        <f t="shared" si="74"/>
        <v/>
      </c>
      <c r="BJ102" t="str">
        <f t="shared" si="75"/>
        <v/>
      </c>
      <c r="BK102" t="str">
        <f t="shared" si="76"/>
        <v/>
      </c>
      <c r="BL102" t="str">
        <f t="shared" si="42"/>
        <v/>
      </c>
      <c r="BM102" s="146"/>
      <c r="BN102" t="str">
        <f t="shared" si="43"/>
        <v/>
      </c>
      <c r="BO102" t="str">
        <f t="shared" si="44"/>
        <v/>
      </c>
      <c r="BP102" t="str">
        <f t="shared" si="77"/>
        <v/>
      </c>
      <c r="BQ102" t="str">
        <f t="shared" si="78"/>
        <v/>
      </c>
      <c r="BR102" t="str">
        <f t="shared" si="79"/>
        <v/>
      </c>
      <c r="BS102" t="str">
        <f t="shared" si="80"/>
        <v/>
      </c>
      <c r="BT102" t="str">
        <f t="shared" si="81"/>
        <v/>
      </c>
      <c r="BU102" t="str">
        <f t="shared" si="45"/>
        <v/>
      </c>
      <c r="BV102" t="str">
        <f t="shared" si="46"/>
        <v/>
      </c>
      <c r="BW102">
        <f>'主翼(桁)'!BG99</f>
        <v>8.4507150263381611E-2</v>
      </c>
      <c r="BX102">
        <f t="shared" si="47"/>
        <v>4.6183800413576226E-2</v>
      </c>
      <c r="BY102">
        <f t="shared" si="48"/>
        <v>0.13069095067695785</v>
      </c>
      <c r="CA102">
        <f t="shared" si="49"/>
        <v>66.957946445729007</v>
      </c>
      <c r="CB102">
        <f t="shared" si="50"/>
        <v>4.6042757338343836E-2</v>
      </c>
      <c r="CC102">
        <f t="shared" si="51"/>
        <v>66.911903688390666</v>
      </c>
      <c r="CE102" s="49">
        <f>BY102*パラメーター!$D$5</f>
        <v>1.2803792437821562</v>
      </c>
    </row>
    <row r="103" spans="4:83">
      <c r="D103">
        <f>'主翼(型紙出力)'!B106</f>
        <v>55</v>
      </c>
      <c r="E103">
        <f>'主翼(型紙出力)'!AP106</f>
        <v>8.3271871453872546</v>
      </c>
      <c r="F103">
        <f>'主翼(型紙出力)'!AQ106</f>
        <v>0.46426129423208945</v>
      </c>
      <c r="G103">
        <f>'主翼(型紙出力)'!E106</f>
        <v>0.2</v>
      </c>
      <c r="H103">
        <f>'主翼(型紙出力)'!D106/1000</f>
        <v>0.64963157894736745</v>
      </c>
      <c r="I103" t="str">
        <f>'主翼(型紙出力)'!H106</f>
        <v>full</v>
      </c>
      <c r="J103" t="str">
        <f>'主翼(型紙出力)'!G106</f>
        <v>2番</v>
      </c>
      <c r="K103">
        <f>'主翼(型紙出力)'!L106</f>
        <v>90.885183940428448</v>
      </c>
      <c r="L103">
        <f>'主翼(型紙出力)'!I106</f>
        <v>70.477999999999952</v>
      </c>
      <c r="M103">
        <f>'主翼(型紙出力)'!M106</f>
        <v>20.407183940428496</v>
      </c>
      <c r="N103" t="str">
        <f>主翼翼型1!$C$3</f>
        <v>QX0026 root.dat</v>
      </c>
      <c r="O103" cm="1">
        <f t="array" ref="O103">_xlfn.LET(
  _xlpm.y,$E103,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3" t="str">
        <f>主翼翼型2!$C$3</f>
        <v>QX0226.dat</v>
      </c>
      <c r="Q103" cm="1">
        <f t="array" ref="Q103">_xlfn.LET(
  _xlpm.y,$E103,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103" t="str">
        <f>主翼翼型3!$C$3</f>
        <v>QX0126.dat</v>
      </c>
      <c r="S103" cm="1">
        <f t="array" ref="S103">_xlfn.LET(
  _xlpm.y,$E103,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03" t="str">
        <f>主翼翼型4!$C$3</f>
        <v>QX0026 v32.dat</v>
      </c>
      <c r="U103" cm="1">
        <f t="array" ref="U103">_xlfn.LET(
  _xlpm.y,$E103,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3" t="str">
        <f>主翼翼型5!$C$3</f>
        <v>QX0026 v32.dat</v>
      </c>
      <c r="W103" cm="1">
        <f t="array" ref="W103">_xlfn.LET(
  _xlpm.y,$E103,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3" s="233">
        <f t="shared" si="30"/>
        <v>4.015117931915721E-2</v>
      </c>
      <c r="Y103" s="233">
        <f t="shared" si="52"/>
        <v>9.8449611453880863E-4</v>
      </c>
      <c r="Z103" s="233">
        <f t="shared" si="31"/>
        <v>8.3999999999999995E-5</v>
      </c>
      <c r="AA103" s="233">
        <f t="shared" si="53"/>
        <v>3.0739306054002768E-4</v>
      </c>
      <c r="AB103" s="233">
        <f t="shared" si="32"/>
        <v>2.0000000000000002E-5</v>
      </c>
      <c r="AC103" s="233">
        <f t="shared" si="33"/>
        <v>2.8105825523410045E-4</v>
      </c>
      <c r="AD103">
        <f t="shared" si="54"/>
        <v>1.9689922290776175E-4</v>
      </c>
      <c r="AE103">
        <f t="shared" si="55"/>
        <v>1.6799999999999998E-5</v>
      </c>
      <c r="AF103">
        <f t="shared" si="34"/>
        <v>2.151751423780194E-6</v>
      </c>
      <c r="AG103">
        <f t="shared" si="35"/>
        <v>4.0000000000000007E-6</v>
      </c>
      <c r="AH103" t="str">
        <f t="shared" si="82"/>
        <v/>
      </c>
      <c r="AI103" t="str">
        <f t="shared" si="56"/>
        <v/>
      </c>
      <c r="AJ103" t="str">
        <f t="shared" si="83"/>
        <v/>
      </c>
      <c r="AK103" t="str">
        <f t="shared" si="84"/>
        <v/>
      </c>
      <c r="AL103" t="str">
        <f t="shared" si="57"/>
        <v/>
      </c>
      <c r="AM103" t="str">
        <f t="shared" si="85"/>
        <v/>
      </c>
      <c r="AN103" t="str">
        <f t="shared" si="58"/>
        <v/>
      </c>
      <c r="AO103" s="146"/>
      <c r="AP103" t="str">
        <f t="shared" si="59"/>
        <v/>
      </c>
      <c r="AQ103" t="str">
        <f t="shared" si="60"/>
        <v/>
      </c>
      <c r="AR103" t="str">
        <f t="shared" si="61"/>
        <v/>
      </c>
      <c r="AS103" t="str">
        <f t="shared" si="62"/>
        <v/>
      </c>
      <c r="AT103" t="str">
        <f t="shared" si="63"/>
        <v/>
      </c>
      <c r="AU103" t="str">
        <f t="shared" si="64"/>
        <v/>
      </c>
      <c r="AV103" t="str">
        <f t="shared" si="40"/>
        <v/>
      </c>
      <c r="AW103" s="146"/>
      <c r="AX103">
        <f t="shared" si="65"/>
        <v>7.5885728913207117E-3</v>
      </c>
      <c r="AY103">
        <f t="shared" si="66"/>
        <v>1.6736433947159748E-2</v>
      </c>
      <c r="AZ103">
        <f t="shared" si="67"/>
        <v>1.0973932261278989E-3</v>
      </c>
      <c r="BA103">
        <f t="shared" si="68"/>
        <v>3.2276271356702908E-3</v>
      </c>
      <c r="BB103">
        <f t="shared" si="69"/>
        <v>6.000000000000001E-3</v>
      </c>
      <c r="BC103">
        <f t="shared" si="70"/>
        <v>1.4037395754847628E-2</v>
      </c>
      <c r="BD103">
        <f t="shared" si="41"/>
        <v>6.0502306915579092E-3</v>
      </c>
      <c r="BE103" s="146"/>
      <c r="BF103" t="str">
        <f t="shared" si="71"/>
        <v/>
      </c>
      <c r="BG103" t="str">
        <f t="shared" si="72"/>
        <v/>
      </c>
      <c r="BH103" t="str">
        <f t="shared" si="73"/>
        <v/>
      </c>
      <c r="BI103" t="str">
        <f t="shared" si="74"/>
        <v/>
      </c>
      <c r="BJ103" t="str">
        <f t="shared" si="75"/>
        <v/>
      </c>
      <c r="BK103" t="str">
        <f t="shared" si="76"/>
        <v/>
      </c>
      <c r="BL103" t="str">
        <f t="shared" si="42"/>
        <v/>
      </c>
      <c r="BM103" s="146"/>
      <c r="BN103">
        <f t="shared" si="43"/>
        <v>0.1</v>
      </c>
      <c r="BO103" t="str">
        <f t="shared" si="44"/>
        <v/>
      </c>
      <c r="BP103" t="str">
        <f t="shared" si="77"/>
        <v/>
      </c>
      <c r="BQ103" t="str">
        <f t="shared" si="78"/>
        <v/>
      </c>
      <c r="BR103" t="str">
        <f t="shared" si="79"/>
        <v/>
      </c>
      <c r="BS103" t="str">
        <f t="shared" si="80"/>
        <v/>
      </c>
      <c r="BT103" t="str">
        <f t="shared" si="81"/>
        <v/>
      </c>
      <c r="BU103" t="str">
        <f t="shared" si="45"/>
        <v/>
      </c>
      <c r="BV103" t="str">
        <f t="shared" si="46"/>
        <v/>
      </c>
      <c r="BW103">
        <f>'主翼(桁)'!BG100</f>
        <v>0.11008638463191789</v>
      </c>
      <c r="BX103">
        <f t="shared" si="47"/>
        <v>0.15473765364668421</v>
      </c>
      <c r="BY103">
        <f t="shared" si="48"/>
        <v>0.26482403827860213</v>
      </c>
      <c r="CA103">
        <f t="shared" si="49"/>
        <v>69.401256991868053</v>
      </c>
      <c r="CB103">
        <f t="shared" si="50"/>
        <v>5.9211237565322837E-2</v>
      </c>
      <c r="CC103">
        <f t="shared" si="51"/>
        <v>69.342045754302731</v>
      </c>
      <c r="CE103" s="49">
        <f>BY103*パラメーター!$D$5</f>
        <v>2.5944811030154651</v>
      </c>
    </row>
    <row r="104" spans="4:83">
      <c r="D104">
        <f>'主翼(型紙出力)'!B107</f>
        <v>56</v>
      </c>
      <c r="E104">
        <f>'主翼(型紙出力)'!AP107</f>
        <v>8.5234329380808198</v>
      </c>
      <c r="F104">
        <f>'主翼(型紙出力)'!AQ107</f>
        <v>0.50283056762522382</v>
      </c>
      <c r="G104">
        <f>'主翼(型紙出力)'!E107</f>
        <v>0.17499999999999999</v>
      </c>
      <c r="H104">
        <f>'主翼(型紙出力)'!D107/1000</f>
        <v>0.625</v>
      </c>
      <c r="I104" t="str">
        <f>'主翼(型紙出力)'!H107</f>
        <v>full</v>
      </c>
      <c r="J104" t="str">
        <f>'主翼(型紙出力)'!G107</f>
        <v>端リブ</v>
      </c>
      <c r="K104">
        <f>'主翼(型紙出力)'!L107</f>
        <v>87.439160600549954</v>
      </c>
      <c r="L104">
        <f>'主翼(型紙出力)'!I107</f>
        <v>75.827999999999975</v>
      </c>
      <c r="M104">
        <f>'主翼(型紙出力)'!M107</f>
        <v>11.611160600549979</v>
      </c>
      <c r="N104" t="str">
        <f>主翼翼型1!$C$3</f>
        <v>QX0026 root.dat</v>
      </c>
      <c r="O104" cm="1">
        <f t="array" ref="O104">_xlfn.LET(
  _xlpm.y,$E104,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4" t="str">
        <f>主翼翼型2!$C$3</f>
        <v>QX0226.dat</v>
      </c>
      <c r="Q104" cm="1">
        <f t="array" ref="Q104">_xlfn.LET(
  _xlpm.y,$E104,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104" t="str">
        <f>主翼翼型3!$C$3</f>
        <v>QX0126.dat</v>
      </c>
      <c r="S104" cm="1">
        <f t="array" ref="S104">_xlfn.LET(
  _xlpm.y,$E104,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04" t="str">
        <f>主翼翼型4!$C$3</f>
        <v>QX0026 v32.dat</v>
      </c>
      <c r="U104" cm="1">
        <f t="array" ref="U104">_xlfn.LET(
  _xlpm.y,$E104,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4" t="str">
        <f>主翼翼型5!$C$3</f>
        <v>QX0026 v32.dat</v>
      </c>
      <c r="W104" cm="1">
        <f t="array" ref="W104">_xlfn.LET(
  _xlpm.y,$E104,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4" s="233">
        <f t="shared" si="30"/>
        <v>3.7164139749203129E-2</v>
      </c>
      <c r="Y104" s="233">
        <f t="shared" si="52"/>
        <v>9.4716773557063691E-4</v>
      </c>
      <c r="Z104" s="233">
        <f t="shared" si="31"/>
        <v>8.3999999999999995E-5</v>
      </c>
      <c r="AA104" s="233">
        <f t="shared" si="53"/>
        <v>2.9573787522586359E-4</v>
      </c>
      <c r="AB104" s="233">
        <f t="shared" si="32"/>
        <v>2.0000000000000002E-5</v>
      </c>
      <c r="AC104" s="233">
        <f t="shared" si="33"/>
        <v>2.6014897824442191E-4</v>
      </c>
      <c r="AD104">
        <f t="shared" si="54"/>
        <v>1.6575435372486144E-4</v>
      </c>
      <c r="AE104">
        <f t="shared" si="55"/>
        <v>1.4699999999999998E-5</v>
      </c>
      <c r="AF104">
        <f t="shared" si="34"/>
        <v>2.0701651265810451E-6</v>
      </c>
      <c r="AG104">
        <f t="shared" si="35"/>
        <v>3.4999999999999999E-6</v>
      </c>
      <c r="AH104" t="str">
        <f t="shared" si="82"/>
        <v/>
      </c>
      <c r="AI104" t="str">
        <f t="shared" si="56"/>
        <v/>
      </c>
      <c r="AJ104" t="str">
        <f t="shared" si="83"/>
        <v/>
      </c>
      <c r="AK104" t="str">
        <f t="shared" si="84"/>
        <v/>
      </c>
      <c r="AL104" t="str">
        <f t="shared" si="57"/>
        <v/>
      </c>
      <c r="AM104" t="str">
        <f t="shared" si="85"/>
        <v/>
      </c>
      <c r="AN104" t="str">
        <f t="shared" si="58"/>
        <v/>
      </c>
      <c r="AO104" s="146"/>
      <c r="AP104" t="str">
        <f t="shared" si="59"/>
        <v/>
      </c>
      <c r="AQ104" t="str">
        <f t="shared" si="60"/>
        <v/>
      </c>
      <c r="AR104" t="str">
        <f t="shared" si="61"/>
        <v/>
      </c>
      <c r="AS104" t="str">
        <f t="shared" si="62"/>
        <v/>
      </c>
      <c r="AT104" t="str">
        <f t="shared" si="63"/>
        <v/>
      </c>
      <c r="AU104" t="str">
        <f t="shared" si="64"/>
        <v/>
      </c>
      <c r="AV104" t="str">
        <f t="shared" si="40"/>
        <v/>
      </c>
      <c r="AW104" s="146"/>
      <c r="AX104" t="str">
        <f t="shared" si="65"/>
        <v/>
      </c>
      <c r="AY104" t="str">
        <f t="shared" si="66"/>
        <v/>
      </c>
      <c r="AZ104" t="str">
        <f t="shared" si="67"/>
        <v/>
      </c>
      <c r="BA104" t="str">
        <f t="shared" si="68"/>
        <v/>
      </c>
      <c r="BB104" t="str">
        <f t="shared" si="69"/>
        <v/>
      </c>
      <c r="BC104" t="str">
        <f t="shared" si="70"/>
        <v/>
      </c>
      <c r="BD104" t="str">
        <f t="shared" si="41"/>
        <v/>
      </c>
      <c r="BE104" s="146"/>
      <c r="BF104" t="str">
        <f t="shared" si="71"/>
        <v/>
      </c>
      <c r="BG104" t="str">
        <f t="shared" si="72"/>
        <v/>
      </c>
      <c r="BH104" t="str">
        <f t="shared" si="73"/>
        <v/>
      </c>
      <c r="BI104" t="str">
        <f t="shared" si="74"/>
        <v/>
      </c>
      <c r="BJ104" t="str">
        <f t="shared" si="75"/>
        <v/>
      </c>
      <c r="BK104" t="str">
        <f t="shared" si="76"/>
        <v/>
      </c>
      <c r="BL104" t="str">
        <f t="shared" si="42"/>
        <v/>
      </c>
      <c r="BM104" s="146"/>
      <c r="BN104" t="str">
        <f t="shared" si="43"/>
        <v/>
      </c>
      <c r="BO104">
        <f t="shared" si="44"/>
        <v>0.1</v>
      </c>
      <c r="BP104">
        <f t="shared" si="77"/>
        <v>0.11037749505513331</v>
      </c>
      <c r="BQ104">
        <f t="shared" si="78"/>
        <v>1.4089120066613222E-2</v>
      </c>
      <c r="BR104">
        <f t="shared" si="79"/>
        <v>1.0557842145563329E-3</v>
      </c>
      <c r="BS104">
        <f t="shared" si="80"/>
        <v>3.1052476898715676E-3</v>
      </c>
      <c r="BT104">
        <f t="shared" si="81"/>
        <v>5.2500000000000003E-3</v>
      </c>
      <c r="BU104">
        <f t="shared" si="45"/>
        <v>1.2867187499999998E-2</v>
      </c>
      <c r="BV104" t="str">
        <f t="shared" si="46"/>
        <v/>
      </c>
      <c r="BW104">
        <f>'主翼(桁)'!BG101</f>
        <v>0.19145548474272167</v>
      </c>
      <c r="BX104">
        <f t="shared" si="47"/>
        <v>0.24674483452617441</v>
      </c>
      <c r="BY104">
        <f t="shared" si="48"/>
        <v>0.43820031926889608</v>
      </c>
      <c r="CA104">
        <f t="shared" si="49"/>
        <v>72.728378276137889</v>
      </c>
      <c r="CB104">
        <f t="shared" si="50"/>
        <v>7.94692261768596E-2</v>
      </c>
      <c r="CC104">
        <f t="shared" si="51"/>
        <v>72.648909049961034</v>
      </c>
      <c r="CE104" s="49">
        <f>BY104*パラメーター!$D$5</f>
        <v>4.2930485278773753</v>
      </c>
    </row>
    <row r="105" spans="4:83">
      <c r="D105">
        <f>'主翼(型紙出力)'!B108</f>
        <v>57</v>
      </c>
      <c r="E105">
        <f>'主翼(型紙出力)'!AP108</f>
        <v>8.6951251624694468</v>
      </c>
      <c r="F105">
        <f>'主翼(型紙出力)'!AQ108</f>
        <v>0.53669470919835516</v>
      </c>
      <c r="G105">
        <f>'主翼(型紙出力)'!E108</f>
        <v>0.15</v>
      </c>
      <c r="H105">
        <f>'主翼(型紙出力)'!D108/1000</f>
        <v>0.62178899082568806</v>
      </c>
      <c r="I105" t="str">
        <f>'主翼(型紙出力)'!H108</f>
        <v>full</v>
      </c>
      <c r="J105" t="str">
        <f>'主翼(型紙出力)'!G108</f>
        <v>3番</v>
      </c>
      <c r="K105">
        <f>'主翼(型紙出力)'!L108</f>
        <v>86.615274555204962</v>
      </c>
      <c r="L105">
        <f>'主翼(型紙出力)'!I108</f>
        <v>74.340499999999977</v>
      </c>
      <c r="M105">
        <f>'主翼(型紙出力)'!M108</f>
        <v>12.274774555204985</v>
      </c>
      <c r="N105" t="str">
        <f>主翼翼型1!$C$3</f>
        <v>QX0026 root.dat</v>
      </c>
      <c r="O105" cm="1">
        <f t="array" ref="O105">_xlfn.LET(
  _xlpm.y,$E105,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5" t="str">
        <f>主翼翼型2!$C$3</f>
        <v>QX0226.dat</v>
      </c>
      <c r="Q105" cm="1">
        <f t="array" ref="Q105">_xlfn.LET(
  _xlpm.y,$E105,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0.94674305964423999</v>
      </c>
      <c r="R105" t="str">
        <f>主翼翼型3!$C$3</f>
        <v>QX0126.dat</v>
      </c>
      <c r="S105" cm="1">
        <f t="array" ref="S105">_xlfn.LET(
  _xlpm.y,$E105,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5.3256940355760028E-2</v>
      </c>
      <c r="T105" t="str">
        <f>主翼翼型4!$C$3</f>
        <v>QX0026 v32.dat</v>
      </c>
      <c r="U105" cm="1">
        <f t="array" ref="U105">_xlfn.LET(
  _xlpm.y,$E105,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5" t="str">
        <f>主翼翼型5!$C$3</f>
        <v>QX0026 v32.dat</v>
      </c>
      <c r="W105" cm="1">
        <f t="array" ref="W105">_xlfn.LET(
  _xlpm.y,$E105,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5" s="233">
        <f t="shared" si="30"/>
        <v>3.6649315819771371E-2</v>
      </c>
      <c r="Y105" s="233">
        <f t="shared" si="52"/>
        <v>9.4155117177881708E-4</v>
      </c>
      <c r="Z105" s="233">
        <f t="shared" si="31"/>
        <v>8.3999999999999995E-5</v>
      </c>
      <c r="AA105" s="233">
        <f t="shared" si="53"/>
        <v>2.9430736349975184E-4</v>
      </c>
      <c r="AB105" s="233">
        <f t="shared" si="32"/>
        <v>2.0000000000000002E-5</v>
      </c>
      <c r="AC105" s="233">
        <f t="shared" si="33"/>
        <v>2.5654521073839961E-4</v>
      </c>
      <c r="AD105">
        <f t="shared" si="54"/>
        <v>1.4123267576682255E-4</v>
      </c>
      <c r="AE105">
        <f t="shared" si="55"/>
        <v>1.26E-5</v>
      </c>
      <c r="AF105">
        <f t="shared" si="34"/>
        <v>2.0601515444982631E-6</v>
      </c>
      <c r="AG105">
        <f t="shared" si="35"/>
        <v>3.0000000000000001E-6</v>
      </c>
      <c r="AH105" t="str">
        <f t="shared" si="82"/>
        <v/>
      </c>
      <c r="AI105" t="str">
        <f t="shared" si="56"/>
        <v/>
      </c>
      <c r="AJ105" t="str">
        <f t="shared" si="83"/>
        <v/>
      </c>
      <c r="AK105" t="str">
        <f t="shared" si="84"/>
        <v/>
      </c>
      <c r="AL105" t="str">
        <f t="shared" si="57"/>
        <v/>
      </c>
      <c r="AM105" t="str">
        <f t="shared" si="85"/>
        <v/>
      </c>
      <c r="AN105" t="str">
        <f t="shared" si="58"/>
        <v/>
      </c>
      <c r="AO105" s="146"/>
      <c r="AP105" t="str">
        <f t="shared" si="59"/>
        <v/>
      </c>
      <c r="AQ105" t="str">
        <f t="shared" si="60"/>
        <v/>
      </c>
      <c r="AR105" t="str">
        <f t="shared" si="61"/>
        <v/>
      </c>
      <c r="AS105" t="str">
        <f t="shared" si="62"/>
        <v/>
      </c>
      <c r="AT105" t="str">
        <f t="shared" si="63"/>
        <v/>
      </c>
      <c r="AU105" t="str">
        <f t="shared" si="64"/>
        <v/>
      </c>
      <c r="AV105" t="str">
        <f t="shared" si="40"/>
        <v/>
      </c>
      <c r="AW105" s="146"/>
      <c r="AX105" t="str">
        <f t="shared" si="65"/>
        <v/>
      </c>
      <c r="AY105" t="str">
        <f t="shared" si="66"/>
        <v/>
      </c>
      <c r="AZ105" t="str">
        <f t="shared" si="67"/>
        <v/>
      </c>
      <c r="BA105" t="str">
        <f t="shared" si="68"/>
        <v/>
      </c>
      <c r="BB105" t="str">
        <f t="shared" si="69"/>
        <v/>
      </c>
      <c r="BC105" t="str">
        <f t="shared" si="70"/>
        <v/>
      </c>
      <c r="BD105" t="str">
        <f t="shared" si="41"/>
        <v/>
      </c>
      <c r="BE105" s="146"/>
      <c r="BF105">
        <f t="shared" si="71"/>
        <v>6.926720689936789E-3</v>
      </c>
      <c r="BG105">
        <f t="shared" si="72"/>
        <v>1.2004777440179916E-2</v>
      </c>
      <c r="BH105">
        <f t="shared" si="73"/>
        <v>1.0506772876941143E-3</v>
      </c>
      <c r="BI105">
        <f t="shared" si="74"/>
        <v>3.0902273167473945E-3</v>
      </c>
      <c r="BJ105">
        <f t="shared" si="75"/>
        <v>4.5000000000000005E-3</v>
      </c>
      <c r="BK105">
        <f t="shared" si="76"/>
        <v>1.2063079049532867E-2</v>
      </c>
      <c r="BL105">
        <f t="shared" si="42"/>
        <v>-6.7139954025388759E-3</v>
      </c>
      <c r="BM105" s="146"/>
      <c r="BN105" t="str">
        <f t="shared" si="43"/>
        <v/>
      </c>
      <c r="BO105" t="str">
        <f t="shared" si="44"/>
        <v/>
      </c>
      <c r="BP105" t="str">
        <f t="shared" si="77"/>
        <v/>
      </c>
      <c r="BQ105" t="str">
        <f t="shared" si="78"/>
        <v/>
      </c>
      <c r="BR105" t="str">
        <f t="shared" si="79"/>
        <v/>
      </c>
      <c r="BS105" t="str">
        <f t="shared" si="80"/>
        <v/>
      </c>
      <c r="BT105" t="str">
        <f t="shared" si="81"/>
        <v/>
      </c>
      <c r="BU105" t="str">
        <f t="shared" si="45"/>
        <v/>
      </c>
      <c r="BV105" t="str">
        <f t="shared" si="46"/>
        <v/>
      </c>
      <c r="BW105">
        <f>'主翼(桁)'!BG102</f>
        <v>0.16155476544876618</v>
      </c>
      <c r="BX105">
        <f t="shared" si="47"/>
        <v>3.2921486381552206E-2</v>
      </c>
      <c r="BY105">
        <f t="shared" si="48"/>
        <v>0.19447625183031839</v>
      </c>
      <c r="CA105">
        <f t="shared" si="49"/>
        <v>75.704910394437036</v>
      </c>
      <c r="CB105">
        <f t="shared" si="50"/>
        <v>9.9708803427717471E-2</v>
      </c>
      <c r="CC105">
        <f t="shared" si="51"/>
        <v>75.605201591009319</v>
      </c>
      <c r="CE105" s="49">
        <f>BY105*パラメーター!$D$5</f>
        <v>1.9052838391816294</v>
      </c>
    </row>
    <row r="106" spans="4:83">
      <c r="D106">
        <f>'主翼(型紙出力)'!B109</f>
        <v>58</v>
      </c>
      <c r="E106">
        <f>'主翼(型紙出力)'!AP109</f>
        <v>8.8422740622018381</v>
      </c>
      <c r="F106">
        <f>'主翼(型紙出力)'!AQ109</f>
        <v>0.56580143191917054</v>
      </c>
      <c r="G106">
        <f>'主翼(型紙出力)'!E109</f>
        <v>0.15</v>
      </c>
      <c r="H106">
        <f>'主翼(型紙出力)'!D109/1000</f>
        <v>0.61903669724770638</v>
      </c>
      <c r="I106" t="str">
        <f>'主翼(型紙出力)'!H109</f>
        <v>half</v>
      </c>
      <c r="J106" t="str">
        <f>'主翼(型紙出力)'!G109</f>
        <v>3番</v>
      </c>
      <c r="K106">
        <f>'主翼(型紙出力)'!L109</f>
        <v>85.912166378462061</v>
      </c>
      <c r="L106">
        <f>'主翼(型紙出力)'!I109</f>
        <v>73.065499999999943</v>
      </c>
      <c r="M106">
        <f>'主翼(型紙出力)'!M109</f>
        <v>12.846666378462118</v>
      </c>
      <c r="N106" t="str">
        <f>主翼翼型1!$C$3</f>
        <v>QX0026 root.dat</v>
      </c>
      <c r="O106" cm="1">
        <f t="array" ref="O106">_xlfn.LET(
  _xlpm.y,$E106,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6" t="str">
        <f>主翼翼型2!$C$3</f>
        <v>QX0226.dat</v>
      </c>
      <c r="Q106" cm="1">
        <f t="array" ref="Q106">_xlfn.LET(
  _xlpm.y,$E106,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0.89274346341216981</v>
      </c>
      <c r="R106" t="str">
        <f>主翼翼型3!$C$3</f>
        <v>QX0126.dat</v>
      </c>
      <c r="S106" cm="1">
        <f t="array" ref="S106">_xlfn.LET(
  _xlpm.y,$E106,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0.10725653658783024</v>
      </c>
      <c r="T106" t="str">
        <f>主翼翼型4!$C$3</f>
        <v>QX0026 v32.dat</v>
      </c>
      <c r="U106" cm="1">
        <f t="array" ref="U106">_xlfn.LET(
  _xlpm.y,$E106,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6" t="str">
        <f>主翼翼型5!$C$3</f>
        <v>QX0026 v32.dat</v>
      </c>
      <c r="W106" cm="1">
        <f t="array" ref="W106">_xlfn.LET(
  _xlpm.y,$E106,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6" s="233">
        <f t="shared" si="30"/>
        <v>2.4428912238780177E-2</v>
      </c>
      <c r="Y106" s="233">
        <f t="shared" si="52"/>
        <v>9.3662600238261556E-4</v>
      </c>
      <c r="Z106" s="233">
        <f t="shared" si="31"/>
        <v>8.3999999999999995E-5</v>
      </c>
      <c r="AA106" s="233">
        <f t="shared" si="53"/>
        <v>2.9309435415874794E-4</v>
      </c>
      <c r="AB106" s="233">
        <f t="shared" si="32"/>
        <v>2.0000000000000002E-5</v>
      </c>
      <c r="AC106" s="233">
        <f t="shared" si="33"/>
        <v>1.7100238567146125E-4</v>
      </c>
      <c r="AD106">
        <f t="shared" si="54"/>
        <v>1.4049390035739232E-4</v>
      </c>
      <c r="AE106">
        <f t="shared" si="55"/>
        <v>1.26E-5</v>
      </c>
      <c r="AF106">
        <f t="shared" si="34"/>
        <v>2.0516604791112354E-6</v>
      </c>
      <c r="AG106">
        <f t="shared" si="35"/>
        <v>3.0000000000000001E-6</v>
      </c>
      <c r="AH106" t="str">
        <f t="shared" si="82"/>
        <v/>
      </c>
      <c r="AI106" t="str">
        <f t="shared" si="56"/>
        <v/>
      </c>
      <c r="AJ106" t="str">
        <f t="shared" si="83"/>
        <v/>
      </c>
      <c r="AK106" t="str">
        <f t="shared" si="84"/>
        <v/>
      </c>
      <c r="AL106" t="str">
        <f t="shared" si="57"/>
        <v/>
      </c>
      <c r="AM106" t="str">
        <f t="shared" si="85"/>
        <v/>
      </c>
      <c r="AN106" t="str">
        <f t="shared" si="58"/>
        <v/>
      </c>
      <c r="AO106" s="146"/>
      <c r="AP106" t="str">
        <f t="shared" si="59"/>
        <v/>
      </c>
      <c r="AQ106" t="str">
        <f t="shared" si="60"/>
        <v/>
      </c>
      <c r="AR106" t="str">
        <f t="shared" si="61"/>
        <v/>
      </c>
      <c r="AS106" t="str">
        <f t="shared" si="62"/>
        <v/>
      </c>
      <c r="AT106" t="str">
        <f t="shared" si="63"/>
        <v/>
      </c>
      <c r="AU106" t="str">
        <f t="shared" si="64"/>
        <v/>
      </c>
      <c r="AV106" t="str">
        <f t="shared" si="40"/>
        <v/>
      </c>
      <c r="AW106" s="146"/>
      <c r="AX106" t="str">
        <f t="shared" si="65"/>
        <v/>
      </c>
      <c r="AY106" t="str">
        <f t="shared" si="66"/>
        <v/>
      </c>
      <c r="AZ106" t="str">
        <f t="shared" si="67"/>
        <v/>
      </c>
      <c r="BA106" t="str">
        <f t="shared" si="68"/>
        <v/>
      </c>
      <c r="BB106" t="str">
        <f t="shared" si="69"/>
        <v/>
      </c>
      <c r="BC106" t="str">
        <f t="shared" si="70"/>
        <v/>
      </c>
      <c r="BD106" t="str">
        <f t="shared" si="41"/>
        <v/>
      </c>
      <c r="BE106" s="146"/>
      <c r="BF106">
        <f t="shared" si="71"/>
        <v>4.617064413129454E-3</v>
      </c>
      <c r="BG106">
        <f t="shared" si="72"/>
        <v>1.1941981530378346E-2</v>
      </c>
      <c r="BH106">
        <f t="shared" si="73"/>
        <v>1.04634684434673E-3</v>
      </c>
      <c r="BI106">
        <f t="shared" si="74"/>
        <v>3.077490718666853E-3</v>
      </c>
      <c r="BJ106">
        <f t="shared" si="75"/>
        <v>4.5000000000000005E-3</v>
      </c>
      <c r="BK106">
        <f t="shared" si="76"/>
        <v>1.201682347340291E-2</v>
      </c>
      <c r="BL106">
        <f t="shared" si="42"/>
        <v>-6.7139954025388759E-3</v>
      </c>
      <c r="BM106" s="146"/>
      <c r="BN106" t="str">
        <f t="shared" si="43"/>
        <v/>
      </c>
      <c r="BO106" t="str">
        <f t="shared" si="44"/>
        <v/>
      </c>
      <c r="BP106" t="str">
        <f t="shared" si="77"/>
        <v/>
      </c>
      <c r="BQ106" t="str">
        <f t="shared" si="78"/>
        <v/>
      </c>
      <c r="BR106" t="str">
        <f t="shared" si="79"/>
        <v/>
      </c>
      <c r="BS106" t="str">
        <f t="shared" si="80"/>
        <v/>
      </c>
      <c r="BT106" t="str">
        <f t="shared" si="81"/>
        <v/>
      </c>
      <c r="BU106" t="str">
        <f t="shared" si="45"/>
        <v/>
      </c>
      <c r="BV106" t="str">
        <f t="shared" si="46"/>
        <v/>
      </c>
      <c r="BW106">
        <f>'主翼(桁)'!BG103</f>
        <v>8.0584947604138549E-2</v>
      </c>
      <c r="BX106">
        <f t="shared" si="47"/>
        <v>3.0485711577385416E-2</v>
      </c>
      <c r="BY106">
        <f t="shared" si="48"/>
        <v>0.11107065918152396</v>
      </c>
      <c r="CA106">
        <f t="shared" si="49"/>
        <v>78.304748481323102</v>
      </c>
      <c r="CB106">
        <f t="shared" si="50"/>
        <v>0.11893789023570724</v>
      </c>
      <c r="CC106">
        <f t="shared" si="51"/>
        <v>78.185810591087389</v>
      </c>
      <c r="CE106" s="49">
        <f>BY106*パラメーター!$D$5</f>
        <v>1.0881592480013904</v>
      </c>
    </row>
    <row r="107" spans="4:83">
      <c r="D107">
        <f>'主翼(型紙出力)'!B110</f>
        <v>59</v>
      </c>
      <c r="E107">
        <f>'主翼(型紙出力)'!AP110</f>
        <v>8.9893926958843959</v>
      </c>
      <c r="F107">
        <f>'主翼(型紙出力)'!AQ110</f>
        <v>0.59506074878367476</v>
      </c>
      <c r="G107">
        <f>'主翼(型紙出力)'!E110</f>
        <v>0.15</v>
      </c>
      <c r="H107">
        <f>'主翼(型紙出力)'!D110/1000</f>
        <v>0.61628440366972481</v>
      </c>
      <c r="I107" t="str">
        <f>'主翼(型紙出力)'!H110</f>
        <v>full</v>
      </c>
      <c r="J107" t="str">
        <f>'主翼(型紙出力)'!G110</f>
        <v>3番</v>
      </c>
      <c r="K107">
        <f>'主翼(型紙出力)'!L110</f>
        <v>85.211901151372331</v>
      </c>
      <c r="L107">
        <f>'主翼(型紙出力)'!I110</f>
        <v>71.790499999999938</v>
      </c>
      <c r="M107">
        <f>'主翼(型紙出力)'!M110</f>
        <v>13.421401151372393</v>
      </c>
      <c r="N107" t="str">
        <f>主翼翼型1!$C$3</f>
        <v>QX0026 root.dat</v>
      </c>
      <c r="O107" cm="1">
        <f t="array" ref="O107">_xlfn.LET(
  _xlpm.y,$E107,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7" t="str">
        <f>主翼翼型2!$C$3</f>
        <v>QX0226.dat</v>
      </c>
      <c r="Q107" cm="1">
        <f t="array" ref="Q107">_xlfn.LET(
  _xlpm.y,$E107,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0.83875497398737786</v>
      </c>
      <c r="R107" t="str">
        <f>主翼翼型3!$C$3</f>
        <v>QX0126.dat</v>
      </c>
      <c r="S107" cm="1">
        <f t="array" ref="S107">_xlfn.LET(
  _xlpm.y,$E107,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0.16124502601262211</v>
      </c>
      <c r="T107" t="str">
        <f>主翼翼型4!$C$3</f>
        <v>QX0026 v32.dat</v>
      </c>
      <c r="U107" cm="1">
        <f t="array" ref="U107">_xlfn.LET(
  _xlpm.y,$E107,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7" t="str">
        <f>主翼翼型5!$C$3</f>
        <v>QX0026 v32.dat</v>
      </c>
      <c r="W107" cm="1">
        <f t="array" ref="W107">_xlfn.LET(
  _xlpm.y,$E107,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7" s="233">
        <f t="shared" si="30"/>
        <v>3.5736498463644399E-2</v>
      </c>
      <c r="Y107" s="233">
        <f t="shared" si="52"/>
        <v>9.317077237176181E-4</v>
      </c>
      <c r="Z107" s="233">
        <f t="shared" si="31"/>
        <v>8.3999999999999995E-5</v>
      </c>
      <c r="AA107" s="233">
        <f t="shared" si="53"/>
        <v>2.918805286758177E-4</v>
      </c>
      <c r="AB107" s="233">
        <f t="shared" si="32"/>
        <v>2.0000000000000002E-5</v>
      </c>
      <c r="AC107" s="233">
        <f t="shared" si="33"/>
        <v>2.5015548924551081E-4</v>
      </c>
      <c r="AD107">
        <f t="shared" si="54"/>
        <v>1.397561585576427E-4</v>
      </c>
      <c r="AE107">
        <f t="shared" si="55"/>
        <v>1.26E-5</v>
      </c>
      <c r="AF107">
        <f t="shared" si="34"/>
        <v>2.0431637007307241E-6</v>
      </c>
      <c r="AG107">
        <f t="shared" si="35"/>
        <v>3.0000000000000001E-6</v>
      </c>
      <c r="AH107" t="str">
        <f t="shared" si="82"/>
        <v/>
      </c>
      <c r="AI107" t="str">
        <f t="shared" si="56"/>
        <v/>
      </c>
      <c r="AJ107" t="str">
        <f t="shared" si="83"/>
        <v/>
      </c>
      <c r="AK107" t="str">
        <f t="shared" si="84"/>
        <v/>
      </c>
      <c r="AL107" t="str">
        <f t="shared" si="57"/>
        <v/>
      </c>
      <c r="AM107" t="str">
        <f t="shared" si="85"/>
        <v/>
      </c>
      <c r="AN107" t="str">
        <f t="shared" si="58"/>
        <v/>
      </c>
      <c r="AO107" s="146"/>
      <c r="AP107" t="str">
        <f t="shared" si="59"/>
        <v/>
      </c>
      <c r="AQ107" t="str">
        <f t="shared" si="60"/>
        <v/>
      </c>
      <c r="AR107" t="str">
        <f t="shared" si="61"/>
        <v/>
      </c>
      <c r="AS107" t="str">
        <f t="shared" si="62"/>
        <v/>
      </c>
      <c r="AT107" t="str">
        <f t="shared" si="63"/>
        <v/>
      </c>
      <c r="AU107" t="str">
        <f t="shared" si="64"/>
        <v/>
      </c>
      <c r="AV107" t="str">
        <f t="shared" si="40"/>
        <v/>
      </c>
      <c r="AW107" s="146"/>
      <c r="AX107" t="str">
        <f t="shared" si="65"/>
        <v/>
      </c>
      <c r="AY107" t="str">
        <f t="shared" si="66"/>
        <v/>
      </c>
      <c r="AZ107" t="str">
        <f t="shared" si="67"/>
        <v/>
      </c>
      <c r="BA107" t="str">
        <f t="shared" si="68"/>
        <v/>
      </c>
      <c r="BB107" t="str">
        <f t="shared" si="69"/>
        <v/>
      </c>
      <c r="BC107" t="str">
        <f t="shared" si="70"/>
        <v/>
      </c>
      <c r="BD107" t="str">
        <f t="shared" si="41"/>
        <v/>
      </c>
      <c r="BE107" s="146"/>
      <c r="BF107">
        <f t="shared" si="71"/>
        <v>6.7541982096287921E-3</v>
      </c>
      <c r="BG107">
        <f t="shared" si="72"/>
        <v>1.1879273477399629E-2</v>
      </c>
      <c r="BH107">
        <f t="shared" si="73"/>
        <v>1.0420134873726694E-3</v>
      </c>
      <c r="BI107">
        <f t="shared" si="74"/>
        <v>3.0647455510960861E-3</v>
      </c>
      <c r="BJ107">
        <f t="shared" si="75"/>
        <v>4.5000000000000005E-3</v>
      </c>
      <c r="BK107">
        <f t="shared" si="76"/>
        <v>1.1970681524072047E-2</v>
      </c>
      <c r="BL107">
        <f t="shared" si="42"/>
        <v>-6.7139954025388759E-3</v>
      </c>
      <c r="BM107" s="146"/>
      <c r="BN107" t="str">
        <f t="shared" si="43"/>
        <v/>
      </c>
      <c r="BO107" t="str">
        <f t="shared" si="44"/>
        <v/>
      </c>
      <c r="BP107" t="str">
        <f t="shared" si="77"/>
        <v/>
      </c>
      <c r="BQ107" t="str">
        <f t="shared" si="78"/>
        <v/>
      </c>
      <c r="BR107" t="str">
        <f t="shared" si="79"/>
        <v/>
      </c>
      <c r="BS107" t="str">
        <f t="shared" si="80"/>
        <v/>
      </c>
      <c r="BT107" t="str">
        <f t="shared" si="81"/>
        <v/>
      </c>
      <c r="BU107" t="str">
        <f t="shared" si="45"/>
        <v/>
      </c>
      <c r="BV107" t="str">
        <f t="shared" si="46"/>
        <v/>
      </c>
      <c r="BW107">
        <f>'主翼(桁)'!BG104</f>
        <v>7.9127635421468334E-2</v>
      </c>
      <c r="BX107">
        <f t="shared" si="47"/>
        <v>3.2496916847030349E-2</v>
      </c>
      <c r="BY107">
        <f t="shared" si="48"/>
        <v>0.11162455226849868</v>
      </c>
      <c r="CA107">
        <f t="shared" si="49"/>
        <v>80.949156578217625</v>
      </c>
      <c r="CB107">
        <f t="shared" si="50"/>
        <v>0.13997553739790292</v>
      </c>
      <c r="CC107">
        <f t="shared" si="51"/>
        <v>80.809181040819723</v>
      </c>
      <c r="CE107" s="49">
        <f>BY107*パラメーター!$D$5</f>
        <v>1.0935857385744816</v>
      </c>
    </row>
    <row r="108" spans="4:83">
      <c r="D108">
        <f>'主翼(型紙出力)'!B111</f>
        <v>60</v>
      </c>
      <c r="E108">
        <f>'主翼(型紙出力)'!AP111</f>
        <v>9.1364689825264911</v>
      </c>
      <c r="F108">
        <f>'主翼(型紙出力)'!AQ111</f>
        <v>0.62453219102140745</v>
      </c>
      <c r="G108">
        <f>'主翼(型紙出力)'!E111</f>
        <v>0.15</v>
      </c>
      <c r="H108">
        <f>'主翼(型紙出力)'!D111/1000</f>
        <v>0.61353211009174313</v>
      </c>
      <c r="I108" t="str">
        <f>'主翼(型紙出力)'!H111</f>
        <v>half</v>
      </c>
      <c r="J108" t="str">
        <f>'主翼(型紙出力)'!G111</f>
        <v>3番</v>
      </c>
      <c r="K108">
        <f>'主翼(型紙出力)'!L111</f>
        <v>84.51447887393573</v>
      </c>
      <c r="L108">
        <f>'主翼(型紙出力)'!I111</f>
        <v>70.515499999999932</v>
      </c>
      <c r="M108">
        <f>'主翼(型紙出力)'!M111</f>
        <v>13.998978873935798</v>
      </c>
      <c r="N108" t="str">
        <f>主翼翼型1!$C$3</f>
        <v>QX0026 root.dat</v>
      </c>
      <c r="O108" cm="1">
        <f t="array" ref="O108">_xlfn.LET(
  _xlpm.y,$E108,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8" t="str">
        <f>主翼翼型2!$C$3</f>
        <v>QX0226.dat</v>
      </c>
      <c r="Q108" cm="1">
        <f t="array" ref="Q108">_xlfn.LET(
  _xlpm.y,$E108,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0.78478202476092096</v>
      </c>
      <c r="R108" t="str">
        <f>主翼翼型3!$C$3</f>
        <v>QX0126.dat</v>
      </c>
      <c r="S108" cm="1">
        <f t="array" ref="S108">_xlfn.LET(
  _xlpm.y,$E108,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0.21521797523907907</v>
      </c>
      <c r="T108" t="str">
        <f>主翼翼型4!$C$3</f>
        <v>QX0026 v32.dat</v>
      </c>
      <c r="U108" cm="1">
        <f t="array" ref="U108">_xlfn.LET(
  _xlpm.y,$E108,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8" t="str">
        <f>主翼翼型5!$C$3</f>
        <v>QX0026 v32.dat</v>
      </c>
      <c r="W108" cm="1">
        <f t="array" ref="W108">_xlfn.LET(
  _xlpm.y,$E108,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8" s="233">
        <f t="shared" si="30"/>
        <v>2.3817956906797416E-2</v>
      </c>
      <c r="Y108" s="233">
        <f t="shared" si="52"/>
        <v>9.267963953419222E-4</v>
      </c>
      <c r="Z108" s="233">
        <f t="shared" si="31"/>
        <v>8.3999999999999995E-5</v>
      </c>
      <c r="AA108" s="233">
        <f t="shared" si="53"/>
        <v>2.906658799968677E-4</v>
      </c>
      <c r="AB108" s="233">
        <f t="shared" si="32"/>
        <v>2.0000000000000002E-5</v>
      </c>
      <c r="AC108" s="233">
        <f t="shared" si="33"/>
        <v>1.6672569834758191E-4</v>
      </c>
      <c r="AD108">
        <f t="shared" si="54"/>
        <v>1.3901945930128832E-4</v>
      </c>
      <c r="AE108">
        <f t="shared" si="55"/>
        <v>1.26E-5</v>
      </c>
      <c r="AF108">
        <f t="shared" si="34"/>
        <v>2.034661159978074E-6</v>
      </c>
      <c r="AG108">
        <f t="shared" si="35"/>
        <v>3.0000000000000001E-6</v>
      </c>
      <c r="AH108" t="str">
        <f t="shared" si="82"/>
        <v/>
      </c>
      <c r="AI108" t="str">
        <f t="shared" si="56"/>
        <v/>
      </c>
      <c r="AJ108" t="str">
        <f t="shared" si="83"/>
        <v/>
      </c>
      <c r="AK108" t="str">
        <f t="shared" si="84"/>
        <v/>
      </c>
      <c r="AL108" t="str">
        <f t="shared" si="57"/>
        <v/>
      </c>
      <c r="AM108" t="str">
        <f t="shared" si="85"/>
        <v/>
      </c>
      <c r="AN108" t="str">
        <f t="shared" si="58"/>
        <v/>
      </c>
      <c r="AO108" s="146"/>
      <c r="AP108" t="str">
        <f t="shared" si="59"/>
        <v/>
      </c>
      <c r="AQ108" t="str">
        <f t="shared" si="60"/>
        <v/>
      </c>
      <c r="AR108" t="str">
        <f t="shared" si="61"/>
        <v/>
      </c>
      <c r="AS108" t="str">
        <f t="shared" si="62"/>
        <v/>
      </c>
      <c r="AT108" t="str">
        <f t="shared" si="63"/>
        <v/>
      </c>
      <c r="AU108" t="str">
        <f t="shared" si="64"/>
        <v/>
      </c>
      <c r="AV108" t="str">
        <f t="shared" si="40"/>
        <v/>
      </c>
      <c r="AW108" s="146"/>
      <c r="AX108" t="str">
        <f t="shared" si="65"/>
        <v/>
      </c>
      <c r="AY108" t="str">
        <f t="shared" si="66"/>
        <v/>
      </c>
      <c r="AZ108" t="str">
        <f t="shared" si="67"/>
        <v/>
      </c>
      <c r="BA108" t="str">
        <f t="shared" si="68"/>
        <v/>
      </c>
      <c r="BB108" t="str">
        <f t="shared" si="69"/>
        <v/>
      </c>
      <c r="BC108" t="str">
        <f t="shared" si="70"/>
        <v/>
      </c>
      <c r="BD108" t="str">
        <f t="shared" si="41"/>
        <v/>
      </c>
      <c r="BE108" s="146"/>
      <c r="BF108">
        <f t="shared" si="71"/>
        <v>4.5015938553847118E-3</v>
      </c>
      <c r="BG108">
        <f t="shared" si="72"/>
        <v>1.1816654040609506E-2</v>
      </c>
      <c r="BH108">
        <f t="shared" si="73"/>
        <v>1.0376771915888178E-3</v>
      </c>
      <c r="BI108">
        <f t="shared" si="74"/>
        <v>3.051991739967111E-3</v>
      </c>
      <c r="BJ108">
        <f t="shared" si="75"/>
        <v>4.5000000000000005E-3</v>
      </c>
      <c r="BK108">
        <f t="shared" si="76"/>
        <v>1.1924653201540274E-2</v>
      </c>
      <c r="BL108">
        <f t="shared" si="42"/>
        <v>-6.7139954025388759E-3</v>
      </c>
      <c r="BM108" s="146"/>
      <c r="BN108" t="str">
        <f t="shared" si="43"/>
        <v/>
      </c>
      <c r="BO108" t="str">
        <f t="shared" si="44"/>
        <v/>
      </c>
      <c r="BP108" t="str">
        <f t="shared" si="77"/>
        <v/>
      </c>
      <c r="BQ108" t="str">
        <f t="shared" si="78"/>
        <v/>
      </c>
      <c r="BR108" t="str">
        <f t="shared" si="79"/>
        <v/>
      </c>
      <c r="BS108" t="str">
        <f t="shared" si="80"/>
        <v/>
      </c>
      <c r="BT108" t="str">
        <f t="shared" si="81"/>
        <v/>
      </c>
      <c r="BU108" t="str">
        <f t="shared" si="45"/>
        <v/>
      </c>
      <c r="BV108" t="str">
        <f t="shared" si="46"/>
        <v/>
      </c>
      <c r="BW108">
        <f>'主翼(桁)'!BG105</f>
        <v>7.7670323238798022E-2</v>
      </c>
      <c r="BX108">
        <f t="shared" si="47"/>
        <v>3.0118574626551542E-2</v>
      </c>
      <c r="BY108">
        <f t="shared" si="48"/>
        <v>0.10778889786534956</v>
      </c>
      <c r="CA108">
        <f t="shared" si="49"/>
        <v>83.637962052984477</v>
      </c>
      <c r="CB108">
        <f t="shared" si="50"/>
        <v>0.16289658431581841</v>
      </c>
      <c r="CC108">
        <f t="shared" si="51"/>
        <v>83.47506546866866</v>
      </c>
      <c r="CE108" s="49">
        <f>BY108*パラメーター!$D$5</f>
        <v>1.0560078323868298</v>
      </c>
    </row>
    <row r="109" spans="4:83">
      <c r="D109">
        <f>'主翼(型紙出力)'!B112</f>
        <v>61</v>
      </c>
      <c r="E109">
        <f>'主翼(型紙出力)'!AP112</f>
        <v>9.2835036223609677</v>
      </c>
      <c r="F109">
        <f>'主翼(型紙出力)'!AQ112</f>
        <v>0.65421071336915726</v>
      </c>
      <c r="G109">
        <f>'主翼(型紙出力)'!E112</f>
        <v>0.15</v>
      </c>
      <c r="H109">
        <f>'主翼(型紙出力)'!D112/1000</f>
        <v>0.61077981651376145</v>
      </c>
      <c r="I109" t="str">
        <f>'主翼(型紙出力)'!H112</f>
        <v>full</v>
      </c>
      <c r="J109" t="str">
        <f>'主翼(型紙出力)'!G112</f>
        <v>3番</v>
      </c>
      <c r="K109">
        <f>'主翼(型紙出力)'!L112</f>
        <v>83.819899546152314</v>
      </c>
      <c r="L109">
        <f>'主翼(型紙出力)'!I112</f>
        <v>69.240499999999926</v>
      </c>
      <c r="M109">
        <f>'主翼(型紙出力)'!M112</f>
        <v>14.579399546152388</v>
      </c>
      <c r="N109" t="str">
        <f>主翼翼型1!$C$3</f>
        <v>QX0026 root.dat</v>
      </c>
      <c r="O109" cm="1">
        <f t="array" ref="O109">_xlfn.LET(
  _xlpm.y,$E109,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9" t="str">
        <f>主翼翼型2!$C$3</f>
        <v>QX0226.dat</v>
      </c>
      <c r="Q109" cm="1">
        <f t="array" ref="Q109">_xlfn.LET(
  _xlpm.y,$E109,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0.73082435876661755</v>
      </c>
      <c r="R109" t="str">
        <f>主翼翼型3!$C$3</f>
        <v>QX0126.dat</v>
      </c>
      <c r="S109" cm="1">
        <f t="array" ref="S109">_xlfn.LET(
  _xlpm.y,$E109,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0.26917564123338245</v>
      </c>
      <c r="T109" t="str">
        <f>主翼翼型4!$C$3</f>
        <v>QX0026 v32.dat</v>
      </c>
      <c r="U109" cm="1">
        <f t="array" ref="U109">_xlfn.LET(
  _xlpm.y,$E109,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9" t="str">
        <f>主翼翼型5!$C$3</f>
        <v>QX0026 v32.dat</v>
      </c>
      <c r="W109" cm="1">
        <f t="array" ref="W109">_xlfn.LET(
  _xlpm.y,$E109,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9" s="233">
        <f t="shared" si="30"/>
        <v>3.4839054349080349E-2</v>
      </c>
      <c r="Y109" s="233">
        <f t="shared" si="52"/>
        <v>9.2189201079142169E-4</v>
      </c>
      <c r="Z109" s="233">
        <f t="shared" si="31"/>
        <v>8.3999999999999995E-5</v>
      </c>
      <c r="AA109" s="233">
        <f t="shared" si="53"/>
        <v>2.8945040888751013E-4</v>
      </c>
      <c r="AB109" s="233">
        <f t="shared" si="32"/>
        <v>2.0000000000000002E-5</v>
      </c>
      <c r="AC109" s="233">
        <f t="shared" si="33"/>
        <v>2.4387338044356245E-4</v>
      </c>
      <c r="AD109">
        <f t="shared" si="54"/>
        <v>1.3828380161871325E-4</v>
      </c>
      <c r="AE109">
        <f t="shared" si="55"/>
        <v>1.26E-5</v>
      </c>
      <c r="AF109">
        <f t="shared" si="34"/>
        <v>2.026152862212571E-6</v>
      </c>
      <c r="AG109">
        <f t="shared" si="35"/>
        <v>3.0000000000000001E-6</v>
      </c>
      <c r="AH109" t="str">
        <f t="shared" si="82"/>
        <v/>
      </c>
      <c r="AI109" t="str">
        <f t="shared" si="56"/>
        <v/>
      </c>
      <c r="AJ109" t="str">
        <f t="shared" si="83"/>
        <v/>
      </c>
      <c r="AK109" t="str">
        <f t="shared" si="84"/>
        <v/>
      </c>
      <c r="AL109" t="str">
        <f t="shared" si="57"/>
        <v/>
      </c>
      <c r="AM109" t="str">
        <f t="shared" si="85"/>
        <v/>
      </c>
      <c r="AN109" t="str">
        <f t="shared" si="58"/>
        <v/>
      </c>
      <c r="AO109" s="146"/>
      <c r="AP109" t="str">
        <f t="shared" si="59"/>
        <v/>
      </c>
      <c r="AQ109" t="str">
        <f t="shared" si="60"/>
        <v/>
      </c>
      <c r="AR109" t="str">
        <f t="shared" si="61"/>
        <v/>
      </c>
      <c r="AS109" t="str">
        <f t="shared" si="62"/>
        <v/>
      </c>
      <c r="AT109" t="str">
        <f t="shared" si="63"/>
        <v/>
      </c>
      <c r="AU109" t="str">
        <f t="shared" si="64"/>
        <v/>
      </c>
      <c r="AV109" t="str">
        <f t="shared" si="40"/>
        <v/>
      </c>
      <c r="AW109" s="146"/>
      <c r="AX109" t="str">
        <f t="shared" si="65"/>
        <v/>
      </c>
      <c r="AY109" t="str">
        <f t="shared" si="66"/>
        <v/>
      </c>
      <c r="AZ109" t="str">
        <f t="shared" si="67"/>
        <v/>
      </c>
      <c r="BA109" t="str">
        <f t="shared" si="68"/>
        <v/>
      </c>
      <c r="BB109" t="str">
        <f t="shared" si="69"/>
        <v/>
      </c>
      <c r="BC109" t="str">
        <f t="shared" si="70"/>
        <v/>
      </c>
      <c r="BD109" t="str">
        <f t="shared" si="41"/>
        <v/>
      </c>
      <c r="BE109" s="146"/>
      <c r="BF109">
        <f t="shared" si="71"/>
        <v>6.5845812719761863E-3</v>
      </c>
      <c r="BG109">
        <f t="shared" si="72"/>
        <v>1.1754123137590626E-2</v>
      </c>
      <c r="BH109">
        <f t="shared" si="73"/>
        <v>1.0333379597284112E-3</v>
      </c>
      <c r="BI109">
        <f t="shared" si="74"/>
        <v>3.0392292933188567E-3</v>
      </c>
      <c r="BJ109">
        <f t="shared" si="75"/>
        <v>4.5000000000000005E-3</v>
      </c>
      <c r="BK109">
        <f t="shared" si="76"/>
        <v>1.187873850580759E-2</v>
      </c>
      <c r="BL109">
        <f t="shared" si="42"/>
        <v>-6.7139954025388759E-3</v>
      </c>
      <c r="BM109" s="146"/>
      <c r="BN109" t="str">
        <f t="shared" si="43"/>
        <v/>
      </c>
      <c r="BO109" t="str">
        <f t="shared" si="44"/>
        <v/>
      </c>
      <c r="BP109" t="str">
        <f t="shared" si="77"/>
        <v/>
      </c>
      <c r="BQ109" t="str">
        <f t="shared" si="78"/>
        <v/>
      </c>
      <c r="BR109" t="str">
        <f t="shared" si="79"/>
        <v/>
      </c>
      <c r="BS109" t="str">
        <f t="shared" si="80"/>
        <v/>
      </c>
      <c r="BT109" t="str">
        <f t="shared" si="81"/>
        <v/>
      </c>
      <c r="BU109" t="str">
        <f t="shared" si="45"/>
        <v/>
      </c>
      <c r="BV109" t="str">
        <f t="shared" si="46"/>
        <v/>
      </c>
      <c r="BW109">
        <f>'主翼(桁)'!BG106</f>
        <v>7.6213011056127822E-2</v>
      </c>
      <c r="BX109">
        <f t="shared" si="47"/>
        <v>3.2076014765882788E-2</v>
      </c>
      <c r="BY109">
        <f t="shared" si="48"/>
        <v>0.10828902582201061</v>
      </c>
      <c r="CA109">
        <f t="shared" si="49"/>
        <v>86.371173675143623</v>
      </c>
      <c r="CB109">
        <f t="shared" si="50"/>
        <v>0.18773416875442042</v>
      </c>
      <c r="CC109">
        <f t="shared" si="51"/>
        <v>86.183439506389206</v>
      </c>
      <c r="CE109" s="49">
        <f>BY109*パラメーター!$D$5</f>
        <v>1.060907585978238</v>
      </c>
    </row>
    <row r="110" spans="4:83">
      <c r="D110">
        <f>'主翼(型紙出力)'!B113</f>
        <v>62</v>
      </c>
      <c r="E110">
        <f>'主翼(型紙出力)'!AP113</f>
        <v>9.4304974037426366</v>
      </c>
      <c r="F110">
        <f>'主翼(型紙出力)'!AQ113</f>
        <v>0.68409094487960898</v>
      </c>
      <c r="G110">
        <f>'主翼(型紙出力)'!E113</f>
        <v>0.15</v>
      </c>
      <c r="H110">
        <f>'主翼(型紙出力)'!D113/1000</f>
        <v>0.60802752293577977</v>
      </c>
      <c r="I110" t="str">
        <f>'主翼(型紙出力)'!H113</f>
        <v>half</v>
      </c>
      <c r="J110" t="str">
        <f>'主翼(型紙出力)'!G113</f>
        <v>3番</v>
      </c>
      <c r="K110">
        <f>'主翼(型紙出力)'!L113</f>
        <v>83.128163168022027</v>
      </c>
      <c r="L110">
        <f>'主翼(型紙出力)'!I113</f>
        <v>67.965499999999921</v>
      </c>
      <c r="M110">
        <f>'主翼(型紙出力)'!M113</f>
        <v>15.162663168022107</v>
      </c>
      <c r="N110" t="str">
        <f>主翼翼型1!$C$3</f>
        <v>QX0026 root.dat</v>
      </c>
      <c r="O110" cm="1">
        <f t="array" ref="O110">_xlfn.LET(
  _xlpm.y,$E110,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0" t="str">
        <f>主翼翼型2!$C$3</f>
        <v>QX0226.dat</v>
      </c>
      <c r="Q110" cm="1">
        <f t="array" ref="Q110">_xlfn.LET(
  _xlpm.y,$E110,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0.67688168669995008</v>
      </c>
      <c r="R110" t="str">
        <f>主翼翼型3!$C$3</f>
        <v>QX0126.dat</v>
      </c>
      <c r="S110" cm="1">
        <f t="array" ref="S110">_xlfn.LET(
  _xlpm.y,$E110,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0.32311831330004992</v>
      </c>
      <c r="T110" t="str">
        <f>主翼翼型4!$C$3</f>
        <v>QX0026 v32.dat</v>
      </c>
      <c r="U110" cm="1">
        <f t="array" ref="U110">_xlfn.LET(
  _xlpm.y,$E110,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0" t="str">
        <f>主翼翼型5!$C$3</f>
        <v>QX0026 v32.dat</v>
      </c>
      <c r="W110" cm="1">
        <f t="array" ref="W110">_xlfn.LET(
  _xlpm.y,$E110,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0" s="233">
        <f t="shared" si="30"/>
        <v>2.3217338883640991E-2</v>
      </c>
      <c r="Y110" s="233">
        <f t="shared" si="52"/>
        <v>9.1699456322055816E-4</v>
      </c>
      <c r="Z110" s="233">
        <f t="shared" si="31"/>
        <v>8.3999999999999995E-5</v>
      </c>
      <c r="AA110" s="233">
        <f t="shared" si="53"/>
        <v>2.8823411615853679E-4</v>
      </c>
      <c r="AB110" s="233">
        <f t="shared" si="32"/>
        <v>2.0000000000000002E-5</v>
      </c>
      <c r="AC110" s="233">
        <f t="shared" si="33"/>
        <v>1.6252137218548694E-4</v>
      </c>
      <c r="AD110">
        <f t="shared" si="54"/>
        <v>1.3754918448308372E-4</v>
      </c>
      <c r="AE110">
        <f t="shared" si="55"/>
        <v>1.26E-5</v>
      </c>
      <c r="AF110">
        <f t="shared" si="34"/>
        <v>2.0176388131097577E-6</v>
      </c>
      <c r="AG110">
        <f t="shared" si="35"/>
        <v>3.0000000000000001E-6</v>
      </c>
      <c r="AH110" t="str">
        <f t="shared" si="82"/>
        <v/>
      </c>
      <c r="AI110" t="str">
        <f t="shared" si="56"/>
        <v/>
      </c>
      <c r="AJ110" t="str">
        <f t="shared" si="83"/>
        <v/>
      </c>
      <c r="AK110" t="str">
        <f t="shared" si="84"/>
        <v/>
      </c>
      <c r="AL110" t="str">
        <f t="shared" si="57"/>
        <v/>
      </c>
      <c r="AM110" t="str">
        <f t="shared" si="85"/>
        <v/>
      </c>
      <c r="AN110" t="str">
        <f t="shared" si="58"/>
        <v/>
      </c>
      <c r="AO110" s="146"/>
      <c r="AP110" t="str">
        <f t="shared" si="59"/>
        <v/>
      </c>
      <c r="AQ110" t="str">
        <f t="shared" si="60"/>
        <v/>
      </c>
      <c r="AR110" t="str">
        <f t="shared" si="61"/>
        <v/>
      </c>
      <c r="AS110" t="str">
        <f t="shared" si="62"/>
        <v/>
      </c>
      <c r="AT110" t="str">
        <f t="shared" si="63"/>
        <v/>
      </c>
      <c r="AU110" t="str">
        <f t="shared" si="64"/>
        <v/>
      </c>
      <c r="AV110" t="str">
        <f t="shared" si="40"/>
        <v/>
      </c>
      <c r="AW110" s="146"/>
      <c r="AX110" t="str">
        <f t="shared" si="65"/>
        <v/>
      </c>
      <c r="AY110" t="str">
        <f t="shared" si="66"/>
        <v/>
      </c>
      <c r="AZ110" t="str">
        <f t="shared" si="67"/>
        <v/>
      </c>
      <c r="BA110" t="str">
        <f t="shared" si="68"/>
        <v/>
      </c>
      <c r="BB110" t="str">
        <f t="shared" si="69"/>
        <v/>
      </c>
      <c r="BC110" t="str">
        <f t="shared" si="70"/>
        <v/>
      </c>
      <c r="BD110" t="str">
        <f t="shared" si="41"/>
        <v/>
      </c>
      <c r="BE110" s="146"/>
      <c r="BF110">
        <f t="shared" si="71"/>
        <v>4.3880770490081471E-3</v>
      </c>
      <c r="BG110">
        <f t="shared" si="72"/>
        <v>1.1691680681062116E-2</v>
      </c>
      <c r="BH110">
        <f t="shared" si="73"/>
        <v>1.0289957946859765E-3</v>
      </c>
      <c r="BI110">
        <f t="shared" si="74"/>
        <v>3.0264582196646364E-3</v>
      </c>
      <c r="BJ110">
        <f t="shared" si="75"/>
        <v>4.5000000000000005E-3</v>
      </c>
      <c r="BK110">
        <f t="shared" si="76"/>
        <v>1.1832937436874E-2</v>
      </c>
      <c r="BL110">
        <f t="shared" si="42"/>
        <v>-6.7139954025388759E-3</v>
      </c>
      <c r="BM110" s="146"/>
      <c r="BN110" t="str">
        <f t="shared" si="43"/>
        <v/>
      </c>
      <c r="BO110" t="str">
        <f t="shared" si="44"/>
        <v/>
      </c>
      <c r="BP110" t="str">
        <f t="shared" si="77"/>
        <v/>
      </c>
      <c r="BQ110" t="str">
        <f t="shared" si="78"/>
        <v/>
      </c>
      <c r="BR110" t="str">
        <f t="shared" si="79"/>
        <v/>
      </c>
      <c r="BS110" t="str">
        <f t="shared" si="80"/>
        <v/>
      </c>
      <c r="BT110" t="str">
        <f t="shared" si="81"/>
        <v/>
      </c>
      <c r="BU110" t="str">
        <f t="shared" si="45"/>
        <v/>
      </c>
      <c r="BV110" t="str">
        <f t="shared" si="46"/>
        <v/>
      </c>
      <c r="BW110">
        <f>'主翼(桁)'!BG107</f>
        <v>7.4755698873457677E-2</v>
      </c>
      <c r="BX110">
        <f t="shared" si="47"/>
        <v>2.9754153778755996E-2</v>
      </c>
      <c r="BY110">
        <f t="shared" si="48"/>
        <v>0.10450985265221367</v>
      </c>
      <c r="CA110">
        <f t="shared" si="49"/>
        <v>89.148801472420743</v>
      </c>
      <c r="CB110">
        <f t="shared" si="50"/>
        <v>0.21452019042413759</v>
      </c>
      <c r="CC110">
        <f t="shared" si="51"/>
        <v>88.934281281996604</v>
      </c>
      <c r="CE110" s="49">
        <f>BY110*パラメーター!$D$5</f>
        <v>1.0238830264337375</v>
      </c>
    </row>
    <row r="111" spans="4:83">
      <c r="D111">
        <f>'主翼(型紙出力)'!B114</f>
        <v>63</v>
      </c>
      <c r="E111">
        <f>'主翼(型紙出力)'!AP114</f>
        <v>9.5774512073491831</v>
      </c>
      <c r="F111">
        <f>'主翼(型紙出力)'!AQ114</f>
        <v>0.7141671747890993</v>
      </c>
      <c r="G111">
        <f>'主翼(型紙出力)'!E114</f>
        <v>0.15</v>
      </c>
      <c r="H111">
        <f>'主翼(型紙出力)'!D114/1000</f>
        <v>0.60527522935779809</v>
      </c>
      <c r="I111" t="str">
        <f>'主翼(型紙出力)'!H114</f>
        <v>full</v>
      </c>
      <c r="J111" t="str">
        <f>'主翼(型紙出力)'!G114</f>
        <v>3番</v>
      </c>
      <c r="K111">
        <f>'主翼(型紙出力)'!L114</f>
        <v>82.439269739544926</v>
      </c>
      <c r="L111">
        <f>'主翼(型紙出力)'!I114</f>
        <v>66.690499999999929</v>
      </c>
      <c r="M111">
        <f>'主翼(型紙出力)'!M114</f>
        <v>15.748769739544997</v>
      </c>
      <c r="N111" t="str">
        <f>主翼翼型1!$C$3</f>
        <v>QX0026 root.dat</v>
      </c>
      <c r="O111" cm="1">
        <f t="array" ref="O111">_xlfn.LET(
  _xlpm.y,$E111,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1" t="str">
        <f>主翼翼型2!$C$3</f>
        <v>QX0226.dat</v>
      </c>
      <c r="Q111" cm="1">
        <f t="array" ref="Q111">_xlfn.LET(
  _xlpm.y,$E111,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0.6229536853764468</v>
      </c>
      <c r="R111" t="str">
        <f>主翼翼型3!$C$3</f>
        <v>QX0126.dat</v>
      </c>
      <c r="S111" cm="1">
        <f t="array" ref="S111">_xlfn.LET(
  _xlpm.y,$E111,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0.3770463146235532</v>
      </c>
      <c r="T111" t="str">
        <f>主翼翼型4!$C$3</f>
        <v>QX0026 v32.dat</v>
      </c>
      <c r="U111" cm="1">
        <f t="array" ref="U111">_xlfn.LET(
  _xlpm.y,$E111,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1" t="str">
        <f>主翼翼型5!$C$3</f>
        <v>QX0026 v32.dat</v>
      </c>
      <c r="W111" cm="1">
        <f t="array" ref="W111">_xlfn.LET(
  _xlpm.y,$E111,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1" s="233">
        <f t="shared" si="30"/>
        <v>3.3956854153462342E-2</v>
      </c>
      <c r="Y111" s="233">
        <f t="shared" si="52"/>
        <v>9.1210404539126199E-4</v>
      </c>
      <c r="Z111" s="233">
        <f t="shared" si="31"/>
        <v>8.3999999999999995E-5</v>
      </c>
      <c r="AA111" s="233">
        <f t="shared" si="53"/>
        <v>2.8701700266722856E-4</v>
      </c>
      <c r="AB111" s="233">
        <f t="shared" si="32"/>
        <v>2.0000000000000002E-5</v>
      </c>
      <c r="AC111" s="233">
        <f t="shared" si="33"/>
        <v>2.3769797907423641E-4</v>
      </c>
      <c r="AD111">
        <f t="shared" si="54"/>
        <v>1.368156068086893E-4</v>
      </c>
      <c r="AE111">
        <f t="shared" si="55"/>
        <v>1.26E-5</v>
      </c>
      <c r="AF111">
        <f t="shared" si="34"/>
        <v>2.0091190186705999E-6</v>
      </c>
      <c r="AG111">
        <f t="shared" si="35"/>
        <v>3.0000000000000001E-6</v>
      </c>
      <c r="AH111" t="str">
        <f t="shared" si="82"/>
        <v/>
      </c>
      <c r="AI111" t="str">
        <f t="shared" si="56"/>
        <v/>
      </c>
      <c r="AJ111" t="str">
        <f t="shared" si="83"/>
        <v/>
      </c>
      <c r="AK111" t="str">
        <f t="shared" si="84"/>
        <v/>
      </c>
      <c r="AL111" t="str">
        <f t="shared" si="57"/>
        <v/>
      </c>
      <c r="AM111" t="str">
        <f t="shared" si="85"/>
        <v/>
      </c>
      <c r="AN111" t="str">
        <f t="shared" si="58"/>
        <v/>
      </c>
      <c r="AO111" s="146"/>
      <c r="AP111" t="str">
        <f t="shared" si="59"/>
        <v/>
      </c>
      <c r="AQ111" t="str">
        <f t="shared" si="60"/>
        <v/>
      </c>
      <c r="AR111" t="str">
        <f t="shared" si="61"/>
        <v/>
      </c>
      <c r="AS111" t="str">
        <f t="shared" si="62"/>
        <v/>
      </c>
      <c r="AT111" t="str">
        <f t="shared" si="63"/>
        <v/>
      </c>
      <c r="AU111" t="str">
        <f t="shared" si="64"/>
        <v/>
      </c>
      <c r="AV111" t="str">
        <f t="shared" si="40"/>
        <v/>
      </c>
      <c r="AW111" s="146"/>
      <c r="AX111" t="str">
        <f t="shared" si="65"/>
        <v/>
      </c>
      <c r="AY111" t="str">
        <f t="shared" si="66"/>
        <v/>
      </c>
      <c r="AZ111" t="str">
        <f t="shared" si="67"/>
        <v/>
      </c>
      <c r="BA111" t="str">
        <f t="shared" si="68"/>
        <v/>
      </c>
      <c r="BB111" t="str">
        <f t="shared" si="69"/>
        <v/>
      </c>
      <c r="BC111" t="str">
        <f t="shared" si="70"/>
        <v/>
      </c>
      <c r="BD111" t="str">
        <f t="shared" si="41"/>
        <v/>
      </c>
      <c r="BE111" s="146"/>
      <c r="BF111">
        <f t="shared" si="71"/>
        <v>6.4178454350043834E-3</v>
      </c>
      <c r="BG111">
        <f t="shared" si="72"/>
        <v>1.1629326578738591E-2</v>
      </c>
      <c r="BH111">
        <f t="shared" si="73"/>
        <v>1.0246506995220059E-3</v>
      </c>
      <c r="BI111">
        <f t="shared" si="74"/>
        <v>3.0136785280059E-3</v>
      </c>
      <c r="BJ111">
        <f t="shared" si="75"/>
        <v>4.5000000000000005E-3</v>
      </c>
      <c r="BK111">
        <f t="shared" si="76"/>
        <v>1.1787249994739499E-2</v>
      </c>
      <c r="BL111">
        <f t="shared" si="42"/>
        <v>-6.7139954025388759E-3</v>
      </c>
      <c r="BM111" s="146"/>
      <c r="BN111" t="str">
        <f t="shared" si="43"/>
        <v/>
      </c>
      <c r="BO111" t="str">
        <f t="shared" si="44"/>
        <v/>
      </c>
      <c r="BP111" t="str">
        <f t="shared" si="77"/>
        <v/>
      </c>
      <c r="BQ111" t="str">
        <f t="shared" si="78"/>
        <v/>
      </c>
      <c r="BR111" t="str">
        <f t="shared" si="79"/>
        <v/>
      </c>
      <c r="BS111" t="str">
        <f t="shared" si="80"/>
        <v/>
      </c>
      <c r="BT111" t="str">
        <f t="shared" si="81"/>
        <v/>
      </c>
      <c r="BU111" t="str">
        <f t="shared" si="45"/>
        <v/>
      </c>
      <c r="BV111" t="str">
        <f t="shared" si="46"/>
        <v/>
      </c>
      <c r="BW111">
        <f>'主翼(桁)'!BG108</f>
        <v>7.329838669078749E-2</v>
      </c>
      <c r="BX111">
        <f t="shared" si="47"/>
        <v>3.1658755833471497E-2</v>
      </c>
      <c r="BY111">
        <f t="shared" si="48"/>
        <v>0.10495714252425899</v>
      </c>
      <c r="CA111">
        <f t="shared" si="49"/>
        <v>91.970856807597428</v>
      </c>
      <c r="CB111">
        <f t="shared" si="50"/>
        <v>0.24328517844310524</v>
      </c>
      <c r="CC111">
        <f t="shared" si="51"/>
        <v>91.727571629154326</v>
      </c>
      <c r="CE111" s="49">
        <f>BY111*パラメーター!$D$5</f>
        <v>1.0282651253101653</v>
      </c>
    </row>
    <row r="112" spans="4:83">
      <c r="D112">
        <f>'主翼(型紙出力)'!B115</f>
        <v>64</v>
      </c>
      <c r="E112">
        <f>'主翼(型紙出力)'!AP115</f>
        <v>9.7243660102299057</v>
      </c>
      <c r="F112">
        <f>'主翼(型紙出力)'!AQ115</f>
        <v>0.74443333897484532</v>
      </c>
      <c r="G112">
        <f>'主翼(型紙出力)'!E115</f>
        <v>0.15</v>
      </c>
      <c r="H112">
        <f>'主翼(型紙出力)'!D115/1000</f>
        <v>0.60252293577981653</v>
      </c>
      <c r="I112" t="str">
        <f>'主翼(型紙出力)'!H115</f>
        <v>half</v>
      </c>
      <c r="J112" t="str">
        <f>'主翼(型紙出力)'!G115</f>
        <v>3番</v>
      </c>
      <c r="K112">
        <f>'主翼(型紙出力)'!L115</f>
        <v>81.753219260720954</v>
      </c>
      <c r="L112">
        <f>'主翼(型紙出力)'!I115</f>
        <v>65.415499999999923</v>
      </c>
      <c r="M112">
        <f>'主翼(型紙出力)'!M115</f>
        <v>16.33771926072103</v>
      </c>
      <c r="N112" t="str">
        <f>主翼翼型1!$C$3</f>
        <v>QX0026 root.dat</v>
      </c>
      <c r="O112" cm="1">
        <f t="array" ref="O112">_xlfn.LET(
  _xlpm.y,$E112,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2" t="str">
        <f>主翼翼型2!$C$3</f>
        <v>QX0226.dat</v>
      </c>
      <c r="Q112" cm="1">
        <f t="array" ref="Q112">_xlfn.LET(
  _xlpm.y,$E112,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0.5690399962459064</v>
      </c>
      <c r="R112" t="str">
        <f>主翼翼型3!$C$3</f>
        <v>QX0126.dat</v>
      </c>
      <c r="S112" cm="1">
        <f t="array" ref="S112">_xlfn.LET(
  _xlpm.y,$E112,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0.4309600037540936</v>
      </c>
      <c r="T112" t="str">
        <f>主翼翼型4!$C$3</f>
        <v>QX0026 v32.dat</v>
      </c>
      <c r="U112" cm="1">
        <f t="array" ref="U112">_xlfn.LET(
  _xlpm.y,$E112,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2" t="str">
        <f>主翼翼型5!$C$3</f>
        <v>QX0026 v32.dat</v>
      </c>
      <c r="W112" cm="1">
        <f t="array" ref="W112">_xlfn.LET(
  _xlpm.y,$E112,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2" s="233">
        <f t="shared" si="30"/>
        <v>2.2626962716702517E-2</v>
      </c>
      <c r="Y112" s="233">
        <f t="shared" ref="Y112:Y136" si="86">($O112*$D$6+Q112*$D$10+S112*$D$14+U112*$D$18+W112*$D$22)*H112*D$27</f>
        <v>9.0722044966323029E-4</v>
      </c>
      <c r="Z112" s="233">
        <f t="shared" si="31"/>
        <v>8.3999999999999995E-5</v>
      </c>
      <c r="AA112" s="233">
        <f t="shared" ref="AA112:AA136" si="87">(O112*$D$7+Q112*$D$11+S112*$D$15+U112*$D$19+W112*$D$23)*H112*$D$30</f>
        <v>2.8579906931850698E-4</v>
      </c>
      <c r="AB112" s="233">
        <f t="shared" si="32"/>
        <v>2.0000000000000002E-5</v>
      </c>
      <c r="AC112" s="233">
        <f t="shared" si="33"/>
        <v>1.5838873901691762E-4</v>
      </c>
      <c r="AD112">
        <f t="shared" ref="AD112:AD136" si="88">Y112*G112</f>
        <v>1.3608306744948453E-4</v>
      </c>
      <c r="AE112">
        <f t="shared" ref="AE112:AE136" si="89">Z112*G112</f>
        <v>1.26E-5</v>
      </c>
      <c r="AF112">
        <f t="shared" si="34"/>
        <v>2.0005934852295488E-6</v>
      </c>
      <c r="AG112">
        <f t="shared" si="35"/>
        <v>3.0000000000000001E-6</v>
      </c>
      <c r="AH112" t="str">
        <f t="shared" si="82"/>
        <v/>
      </c>
      <c r="AI112" t="str">
        <f t="shared" ref="AI112:AI141" si="90">IF(J112="0番",AD112*$S$6,"")</f>
        <v/>
      </c>
      <c r="AJ112" t="str">
        <f t="shared" si="83"/>
        <v/>
      </c>
      <c r="AK112" t="str">
        <f t="shared" si="84"/>
        <v/>
      </c>
      <c r="AL112" t="str">
        <f t="shared" ref="AL112:AL141" si="91">IF(J112="0番",AG112*$S$5,"")</f>
        <v/>
      </c>
      <c r="AM112" t="str">
        <f t="shared" si="85"/>
        <v/>
      </c>
      <c r="AN112" t="str">
        <f t="shared" ref="AN112:AN141" si="92">IF(J112="0番",$Y$6/($R$17*2),"")</f>
        <v/>
      </c>
      <c r="AO112" s="146"/>
      <c r="AP112" t="str">
        <f t="shared" ref="AP112:AP141" si="93">IF(J112="1番",$AC112*$S$4,"")</f>
        <v/>
      </c>
      <c r="AQ112" t="str">
        <f t="shared" ref="AQ112:AQ141" si="94">IF(J112="1番",AD112*$S$6,"")</f>
        <v/>
      </c>
      <c r="AR112" t="str">
        <f t="shared" ref="AR112:AR141" si="95">IF(J112="1番",AF112*$S$7,"")</f>
        <v/>
      </c>
      <c r="AS112" t="str">
        <f t="shared" ref="AS112:AS141" si="96">IF(J112="1番",AF112*$S$5,"")</f>
        <v/>
      </c>
      <c r="AT112" t="str">
        <f t="shared" ref="AT112:AT141" si="97">IF(J112="1番",AG112*$S$5,"")</f>
        <v/>
      </c>
      <c r="AU112" t="str">
        <f t="shared" ref="AU112:AU136" si="98">IF(J112="1番",$D$33*H112*H112+$D$34*H112+$D$35*G112,"")</f>
        <v/>
      </c>
      <c r="AV112" t="str">
        <f t="shared" si="40"/>
        <v/>
      </c>
      <c r="AW112" s="146"/>
      <c r="AX112" t="str">
        <f t="shared" ref="AX112:AX141" si="99">IF(J112="2番",$AC112*$S$4,"")</f>
        <v/>
      </c>
      <c r="AY112" t="str">
        <f t="shared" ref="AY112:AY141" si="100">IF(J112="2番",AD112*$S$6,"")</f>
        <v/>
      </c>
      <c r="AZ112" t="str">
        <f t="shared" ref="AZ112:AZ128" si="101">IF(J112="2番",AF112*$S$7,"")</f>
        <v/>
      </c>
      <c r="BA112" t="str">
        <f t="shared" ref="BA112:BA141" si="102">IF(J112="2番",AF112*$S$5,"")</f>
        <v/>
      </c>
      <c r="BB112" t="str">
        <f t="shared" ref="BB112:BB141" si="103">IF(J112="2番",AG112*$S$5,"")</f>
        <v/>
      </c>
      <c r="BC112" t="str">
        <f t="shared" ref="BC112:BC136" si="104">IF(J112="2番",$D$33*H112*H112+$D$34*H112+$D$35*G112,"")</f>
        <v/>
      </c>
      <c r="BD112" t="str">
        <f t="shared" si="41"/>
        <v/>
      </c>
      <c r="BE112" s="146"/>
      <c r="BF112">
        <f t="shared" ref="BF112:BF143" si="105">IF(J112="3番",$AC112*$S$4,"")</f>
        <v>4.2764959534567762E-3</v>
      </c>
      <c r="BG112">
        <f t="shared" ref="BG112:BG141" si="106">IF(J112="3番",AD112*$S$6,"")</f>
        <v>1.1567060733206186E-2</v>
      </c>
      <c r="BH112">
        <f t="shared" ref="BH112:BH128" si="107">IF(J112="3番",AF112*$S$7,"")</f>
        <v>1.0203026774670699E-3</v>
      </c>
      <c r="BI112">
        <f t="shared" ref="BI112:BI141" si="108">IF(J112="3番",AF112*$S$5,"")</f>
        <v>3.0008902278443233E-3</v>
      </c>
      <c r="BJ112">
        <f t="shared" ref="BJ112:BJ141" si="109">IF(J112="3番",AG112*$S$5,"")</f>
        <v>4.5000000000000005E-3</v>
      </c>
      <c r="BK112">
        <f t="shared" ref="BK112:BK136" si="110">IF(J112="3番",$D$33*H112*H112+$D$34*H112+$D$35*G112,"")</f>
        <v>1.174167617940409E-2</v>
      </c>
      <c r="BL112">
        <f t="shared" si="42"/>
        <v>-6.7139954025388759E-3</v>
      </c>
      <c r="BM112" s="146"/>
      <c r="BN112" t="str">
        <f t="shared" si="43"/>
        <v/>
      </c>
      <c r="BO112" t="str">
        <f t="shared" si="44"/>
        <v/>
      </c>
      <c r="BP112" t="str">
        <f t="shared" ref="BP112:BP141" si="111">IF(J112="端リブ",IF(J113="ウィングレット",X112*$D$26*2*$S$4,X112*$D$26*2*$S$4+(X112*$I$19)*$D$30*4*$S$5),"")</f>
        <v/>
      </c>
      <c r="BQ112" t="str">
        <f t="shared" ref="BQ112:BQ141" si="112">IF(J112="端リブ",AD112*$S$6,"")</f>
        <v/>
      </c>
      <c r="BR112" t="str">
        <f t="shared" ref="BR112:BR141" si="113">IF(J112="端リブ",AF112*$S$7,"")</f>
        <v/>
      </c>
      <c r="BS112" t="str">
        <f t="shared" ref="BS112:BS141" si="114">IF(J112="端リブ",AF112*$S$5,"")</f>
        <v/>
      </c>
      <c r="BT112" t="str">
        <f t="shared" ref="BT112:BT141" si="115">IF(J112="端リブ",AG112*$S$5,"")</f>
        <v/>
      </c>
      <c r="BU112" t="str">
        <f t="shared" si="45"/>
        <v/>
      </c>
      <c r="BV112" t="str">
        <f t="shared" si="46"/>
        <v/>
      </c>
      <c r="BW112">
        <f>'主翼(桁)'!BG109</f>
        <v>7.1841074508117261E-2</v>
      </c>
      <c r="BX112">
        <f t="shared" si="47"/>
        <v>2.9392430368839567E-2</v>
      </c>
      <c r="BY112">
        <f t="shared" si="48"/>
        <v>0.10123350487695683</v>
      </c>
      <c r="CA112">
        <f t="shared" si="49"/>
        <v>94.837352453841774</v>
      </c>
      <c r="CB112">
        <f t="shared" si="50"/>
        <v>0.27405815292708635</v>
      </c>
      <c r="CC112">
        <f t="shared" si="51"/>
        <v>94.563294300914691</v>
      </c>
      <c r="CE112" s="49">
        <f>BY112*パラメーター!$D$5</f>
        <v>0.99178464727954607</v>
      </c>
    </row>
    <row r="113" spans="4:83">
      <c r="D113">
        <f>'主翼(型紙出力)'!B116</f>
        <v>65</v>
      </c>
      <c r="E113">
        <f>'主翼(型紙出力)'!AP116</f>
        <v>9.8712428896134821</v>
      </c>
      <c r="F113">
        <f>'主翼(型紙出力)'!AQ116</f>
        <v>0.77488300732348769</v>
      </c>
      <c r="G113">
        <f>'主翼(型紙出力)'!E116</f>
        <v>0.15</v>
      </c>
      <c r="H113">
        <f>'主翼(型紙出力)'!D116/1000</f>
        <v>0.59977064220183496</v>
      </c>
      <c r="I113" t="str">
        <f>'主翼(型紙出力)'!H116</f>
        <v>full</v>
      </c>
      <c r="J113" t="str">
        <f>'主翼(型紙出力)'!G116</f>
        <v>3番</v>
      </c>
      <c r="K113">
        <f>'主翼(型紙出力)'!L116</f>
        <v>81.070011731550167</v>
      </c>
      <c r="L113">
        <f>'主翼(型紙出力)'!I116</f>
        <v>64.140499999999918</v>
      </c>
      <c r="M113">
        <f>'主翼(型紙出力)'!M116</f>
        <v>16.929511731550249</v>
      </c>
      <c r="N113" t="str">
        <f>主翼翼型1!$C$3</f>
        <v>QX0026 root.dat</v>
      </c>
      <c r="O113" cm="1">
        <f t="array" ref="O113">_xlfn.LET(
  _xlpm.y,$E113,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3" t="str">
        <f>主翼翼型2!$C$3</f>
        <v>QX0226.dat</v>
      </c>
      <c r="Q113" cm="1">
        <f t="array" ref="Q113">_xlfn.LET(
  _xlpm.y,$E113,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0.51514022399505266</v>
      </c>
      <c r="R113" t="str">
        <f>主翼翼型3!$C$3</f>
        <v>QX0126.dat</v>
      </c>
      <c r="S113" cm="1">
        <f t="array" ref="S113">_xlfn.LET(
  _xlpm.y,$E113,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0.48485977600494734</v>
      </c>
      <c r="T113" t="str">
        <f>主翼翼型4!$C$3</f>
        <v>QX0026 v32.dat</v>
      </c>
      <c r="U113" cm="1">
        <f t="array" ref="U113">_xlfn.LET(
  _xlpm.y,$E113,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3" t="str">
        <f>主翼翼型5!$C$3</f>
        <v>QX0026 v32.dat</v>
      </c>
      <c r="W113" cm="1">
        <f t="array" ref="W113">_xlfn.LET(
  _xlpm.y,$E113,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3" s="233">
        <f t="shared" ref="X113:X136" si="116">IF(I113="full",(O113*$D$8+Q113*$D$12+S113*$D$16+U113*$D$20+W113*$D$24)*H113*H113,(O113*$D$8+Q113*$D$12+S113*$D$16+U113*$D$20+W113*$D$24)*H113*H113*$D$37)</f>
        <v>3.3089756093111246E-2</v>
      </c>
      <c r="Y113" s="233">
        <f t="shared" si="86"/>
        <v>9.0234376798596476E-4</v>
      </c>
      <c r="Z113" s="233">
        <f t="shared" ref="Z113:Z141" si="117">$D$29</f>
        <v>8.3999999999999995E-5</v>
      </c>
      <c r="AA113" s="233">
        <f t="shared" si="87"/>
        <v>2.8458031706587745E-4</v>
      </c>
      <c r="AB113" s="233">
        <f t="shared" ref="AB113:AB141" si="118">$D$31*$D$32*2</f>
        <v>2.0000000000000002E-5</v>
      </c>
      <c r="AC113" s="233">
        <f t="shared" ref="AC113:AC136" si="119">X113*$D$25</f>
        <v>2.3162829265177873E-4</v>
      </c>
      <c r="AD113">
        <f t="shared" si="88"/>
        <v>1.353515651978947E-4</v>
      </c>
      <c r="AE113">
        <f t="shared" si="89"/>
        <v>1.26E-5</v>
      </c>
      <c r="AF113">
        <f t="shared" ref="AF113:AF136" si="120">AA113*$D$25</f>
        <v>1.9920622194611423E-6</v>
      </c>
      <c r="AG113">
        <f t="shared" ref="AG113:AG136" si="121">AB113*G113</f>
        <v>3.0000000000000001E-6</v>
      </c>
      <c r="AH113" t="str">
        <f t="shared" ref="AH113:AH141" si="122">IF(J113="0番",$AC113*$S$4,"")</f>
        <v/>
      </c>
      <c r="AI113" t="str">
        <f t="shared" si="90"/>
        <v/>
      </c>
      <c r="AJ113" t="str">
        <f t="shared" ref="AJ113:AJ141" si="123">IF(J113="0番",AF113*$S$7,"")</f>
        <v/>
      </c>
      <c r="AK113" t="str">
        <f t="shared" ref="AK113:AK141" si="124">IF(J113="0番",AF113*$S$5,"")</f>
        <v/>
      </c>
      <c r="AL113" t="str">
        <f t="shared" si="91"/>
        <v/>
      </c>
      <c r="AM113" t="str">
        <f t="shared" ref="AM113:AM136" si="125">IF(J113="0番",$D$33*H113*H113+$D$34*H113+$D$35*G113,"")</f>
        <v/>
      </c>
      <c r="AN113" t="str">
        <f t="shared" si="92"/>
        <v/>
      </c>
      <c r="AO113" s="146"/>
      <c r="AP113" t="str">
        <f t="shared" si="93"/>
        <v/>
      </c>
      <c r="AQ113" t="str">
        <f t="shared" si="94"/>
        <v/>
      </c>
      <c r="AR113" t="str">
        <f t="shared" si="95"/>
        <v/>
      </c>
      <c r="AS113" t="str">
        <f t="shared" si="96"/>
        <v/>
      </c>
      <c r="AT113" t="str">
        <f t="shared" si="97"/>
        <v/>
      </c>
      <c r="AU113" t="str">
        <f t="shared" si="98"/>
        <v/>
      </c>
      <c r="AV113" t="str">
        <f t="shared" ref="AV113:AV141" si="126">IF(J113="1番",$Y$10/($R$18),"")</f>
        <v/>
      </c>
      <c r="AW113" s="146"/>
      <c r="AX113" t="str">
        <f t="shared" si="99"/>
        <v/>
      </c>
      <c r="AY113" t="str">
        <f t="shared" si="100"/>
        <v/>
      </c>
      <c r="AZ113" t="str">
        <f t="shared" si="101"/>
        <v/>
      </c>
      <c r="BA113" t="str">
        <f t="shared" si="102"/>
        <v/>
      </c>
      <c r="BB113" t="str">
        <f t="shared" si="103"/>
        <v/>
      </c>
      <c r="BC113" t="str">
        <f t="shared" si="104"/>
        <v/>
      </c>
      <c r="BD113" t="str">
        <f t="shared" ref="BD113:BD141" si="127">IF(J113="2番",$Y$14/($R$19),"")</f>
        <v/>
      </c>
      <c r="BE113" s="146"/>
      <c r="BF113">
        <f t="shared" si="105"/>
        <v>6.2539639015980258E-3</v>
      </c>
      <c r="BG113">
        <f t="shared" si="106"/>
        <v>1.1504883041821049E-2</v>
      </c>
      <c r="BH113">
        <f t="shared" si="107"/>
        <v>1.0159517319251825E-3</v>
      </c>
      <c r="BI113">
        <f t="shared" si="108"/>
        <v>2.9880933291917136E-3</v>
      </c>
      <c r="BJ113">
        <f t="shared" si="109"/>
        <v>4.5000000000000005E-3</v>
      </c>
      <c r="BK113">
        <f t="shared" si="110"/>
        <v>1.1696215990867773E-2</v>
      </c>
      <c r="BL113">
        <f t="shared" ref="BL113:BL145" si="128">IF(J113="3番",$Y$18/($R$20),"")</f>
        <v>-6.7139954025388759E-3</v>
      </c>
      <c r="BM113" s="146"/>
      <c r="BN113" t="str">
        <f t="shared" ref="BN113:BN136" si="129">IF(J114="端リブ",IF(J115="ウィングレット","",$D$38),"")</f>
        <v/>
      </c>
      <c r="BO113" t="str">
        <f t="shared" ref="BO113:BO136" si="130">IF(J113="端リブ",IF(J114="ウィングレット","",$D$38),"")</f>
        <v/>
      </c>
      <c r="BP113" t="str">
        <f t="shared" si="111"/>
        <v/>
      </c>
      <c r="BQ113" t="str">
        <f t="shared" si="112"/>
        <v/>
      </c>
      <c r="BR113" t="str">
        <f t="shared" si="113"/>
        <v/>
      </c>
      <c r="BS113" t="str">
        <f t="shared" si="114"/>
        <v/>
      </c>
      <c r="BT113" t="str">
        <f t="shared" si="115"/>
        <v/>
      </c>
      <c r="BU113" t="str">
        <f t="shared" ref="BU113:BU136" si="131">IF(J113="端リブ",$D$33*H113*H113+$D$34*H113+$D$35*G113,"")</f>
        <v/>
      </c>
      <c r="BV113" t="str">
        <f t="shared" ref="BV113:BV136" si="132">IF(J113="ウィングレット",($Y$19+$Y$22)/$R$21,"")</f>
        <v/>
      </c>
      <c r="BW113">
        <f>'主翼(桁)'!BG110</f>
        <v>7.0383762325447005E-2</v>
      </c>
      <c r="BX113">
        <f t="shared" ref="BX113:BX136" si="133">SUM(AH113:BV113)</f>
        <v>3.124511259286486E-2</v>
      </c>
      <c r="BY113">
        <f t="shared" ref="BY113:BY136" si="134">BW113+BX113</f>
        <v>0.10162887491831187</v>
      </c>
      <c r="CA113">
        <f t="shared" ref="CA113:CA136" si="135">(E113-$I$29)*(E113-$I$29)+(F113-$I$30)*(F113-$I$30)</f>
        <v>97.748302667080566</v>
      </c>
      <c r="CB113">
        <f t="shared" ref="CB113:CB136" si="136">(F113-$I$30)*(F113-$I$30)</f>
        <v>0.30686648133584193</v>
      </c>
      <c r="CC113">
        <f t="shared" ref="CC113:CC136" si="137">(E113-$I$29)*(E113-$I$29)</f>
        <v>97.44143618574472</v>
      </c>
      <c r="CE113" s="49">
        <f>BY113*パラメーター!$D$5</f>
        <v>0.99565808757470142</v>
      </c>
    </row>
    <row r="114" spans="4:83">
      <c r="D114">
        <f>'主翼(型紙出力)'!B117</f>
        <v>66</v>
      </c>
      <c r="E114">
        <f>'主翼(型紙出力)'!AP117</f>
        <v>10.018083026362211</v>
      </c>
      <c r="F114">
        <f>'主翼(型紙出力)'!AQ117</f>
        <v>0.80550937242962817</v>
      </c>
      <c r="G114">
        <f>'主翼(型紙出力)'!E117</f>
        <v>0.15</v>
      </c>
      <c r="H114">
        <f>'主翼(型紙出力)'!D117/1000</f>
        <v>0.59701834862385317</v>
      </c>
      <c r="I114" t="str">
        <f>'主翼(型紙出力)'!H117</f>
        <v>half</v>
      </c>
      <c r="J114" t="str">
        <f>'主翼(型紙出力)'!G117</f>
        <v>3番</v>
      </c>
      <c r="K114">
        <f>'主翼(型紙出力)'!L117</f>
        <v>80.389647152032509</v>
      </c>
      <c r="L114">
        <f>'主翼(型紙出力)'!I117</f>
        <v>62.865499999999905</v>
      </c>
      <c r="M114">
        <f>'主翼(型紙出力)'!M117</f>
        <v>17.524147152032604</v>
      </c>
      <c r="N114" t="str">
        <f>主翼翼型1!$C$3</f>
        <v>QX0026 root.dat</v>
      </c>
      <c r="O114" cm="1">
        <f t="array" ref="O114">_xlfn.LET(
  _xlpm.y,$E114,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4" t="str">
        <f>主翼翼型2!$C$3</f>
        <v>QX0226.dat</v>
      </c>
      <c r="Q114" cm="1">
        <f t="array" ref="Q114">_xlfn.LET(
  _xlpm.y,$E114,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0.46125393527992276</v>
      </c>
      <c r="R114" t="str">
        <f>主翼翼型3!$C$3</f>
        <v>QX0126.dat</v>
      </c>
      <c r="S114" cm="1">
        <f t="array" ref="S114">_xlfn.LET(
  _xlpm.y,$E114,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0.53874606472007724</v>
      </c>
      <c r="T114" t="str">
        <f>主翼翼型4!$C$3</f>
        <v>QX0026 v32.dat</v>
      </c>
      <c r="U114" cm="1">
        <f t="array" ref="U114">_xlfn.LET(
  _xlpm.y,$E114,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4" t="str">
        <f>主翼翼型5!$C$3</f>
        <v>QX0026 v32.dat</v>
      </c>
      <c r="W114" cm="1">
        <f t="array" ref="W114">_xlfn.LET(
  _xlpm.y,$E114,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4" s="233">
        <f t="shared" si="116"/>
        <v>2.2046732450956452E-2</v>
      </c>
      <c r="Y114" s="233">
        <f t="shared" si="86"/>
        <v>8.9747399189308631E-4</v>
      </c>
      <c r="Z114" s="233">
        <f t="shared" si="117"/>
        <v>8.3999999999999995E-5</v>
      </c>
      <c r="AA114" s="233">
        <f t="shared" si="87"/>
        <v>2.8336074691210229E-4</v>
      </c>
      <c r="AB114" s="233">
        <f t="shared" si="118"/>
        <v>2.0000000000000002E-5</v>
      </c>
      <c r="AC114" s="233">
        <f t="shared" si="119"/>
        <v>1.5432712715669517E-4</v>
      </c>
      <c r="AD114">
        <f t="shared" si="88"/>
        <v>1.3462109878396294E-4</v>
      </c>
      <c r="AE114">
        <f t="shared" si="89"/>
        <v>1.26E-5</v>
      </c>
      <c r="AF114">
        <f t="shared" si="120"/>
        <v>1.9835252283847162E-6</v>
      </c>
      <c r="AG114">
        <f t="shared" si="121"/>
        <v>3.0000000000000001E-6</v>
      </c>
      <c r="AH114" t="str">
        <f t="shared" si="122"/>
        <v/>
      </c>
      <c r="AI114" t="str">
        <f t="shared" si="90"/>
        <v/>
      </c>
      <c r="AJ114" t="str">
        <f t="shared" si="123"/>
        <v/>
      </c>
      <c r="AK114" t="str">
        <f t="shared" si="124"/>
        <v/>
      </c>
      <c r="AL114" t="str">
        <f t="shared" si="91"/>
        <v/>
      </c>
      <c r="AM114" t="str">
        <f t="shared" si="125"/>
        <v/>
      </c>
      <c r="AN114" t="str">
        <f t="shared" si="92"/>
        <v/>
      </c>
      <c r="AO114" s="146"/>
      <c r="AP114" t="str">
        <f t="shared" si="93"/>
        <v/>
      </c>
      <c r="AQ114" t="str">
        <f t="shared" si="94"/>
        <v/>
      </c>
      <c r="AR114" t="str">
        <f t="shared" si="95"/>
        <v/>
      </c>
      <c r="AS114" t="str">
        <f t="shared" si="96"/>
        <v/>
      </c>
      <c r="AT114" t="str">
        <f t="shared" si="97"/>
        <v/>
      </c>
      <c r="AU114" t="str">
        <f t="shared" si="98"/>
        <v/>
      </c>
      <c r="AV114" t="str">
        <f t="shared" si="126"/>
        <v/>
      </c>
      <c r="AW114" s="146"/>
      <c r="AX114" t="str">
        <f t="shared" si="99"/>
        <v/>
      </c>
      <c r="AY114" t="str">
        <f t="shared" si="100"/>
        <v/>
      </c>
      <c r="AZ114" t="str">
        <f t="shared" si="101"/>
        <v/>
      </c>
      <c r="BA114" t="str">
        <f t="shared" si="102"/>
        <v/>
      </c>
      <c r="BB114" t="str">
        <f t="shared" si="103"/>
        <v/>
      </c>
      <c r="BC114" t="str">
        <f t="shared" si="104"/>
        <v/>
      </c>
      <c r="BD114" t="str">
        <f t="shared" si="127"/>
        <v/>
      </c>
      <c r="BE114" s="146"/>
      <c r="BF114">
        <f t="shared" si="105"/>
        <v>4.1668324332307695E-3</v>
      </c>
      <c r="BG114">
        <f t="shared" si="106"/>
        <v>1.144279339663685E-2</v>
      </c>
      <c r="BH114">
        <f t="shared" si="107"/>
        <v>1.0115978664762052E-3</v>
      </c>
      <c r="BI114">
        <f t="shared" si="108"/>
        <v>2.9752878425770742E-3</v>
      </c>
      <c r="BJ114">
        <f t="shared" si="109"/>
        <v>4.5000000000000005E-3</v>
      </c>
      <c r="BK114">
        <f t="shared" si="110"/>
        <v>1.1650869429130543E-2</v>
      </c>
      <c r="BL114">
        <f t="shared" si="128"/>
        <v>-6.7139954025388759E-3</v>
      </c>
      <c r="BM114" s="146"/>
      <c r="BN114" t="str">
        <f t="shared" si="129"/>
        <v/>
      </c>
      <c r="BO114" t="str">
        <f t="shared" si="130"/>
        <v/>
      </c>
      <c r="BP114" t="str">
        <f t="shared" si="111"/>
        <v/>
      </c>
      <c r="BQ114" t="str">
        <f t="shared" si="112"/>
        <v/>
      </c>
      <c r="BR114" t="str">
        <f t="shared" si="113"/>
        <v/>
      </c>
      <c r="BS114" t="str">
        <f t="shared" si="114"/>
        <v/>
      </c>
      <c r="BT114" t="str">
        <f t="shared" si="115"/>
        <v/>
      </c>
      <c r="BU114" t="str">
        <f t="shared" si="131"/>
        <v/>
      </c>
      <c r="BV114" t="str">
        <f t="shared" si="132"/>
        <v/>
      </c>
      <c r="BW114">
        <f>'主翼(桁)'!BG111</f>
        <v>6.8926450142776749E-2</v>
      </c>
      <c r="BX114">
        <f t="shared" si="133"/>
        <v>2.9033385565512562E-2</v>
      </c>
      <c r="BY114">
        <f t="shared" si="134"/>
        <v>9.7959835708289311E-2</v>
      </c>
      <c r="CA114">
        <f t="shared" si="135"/>
        <v>100.70372325358622</v>
      </c>
      <c r="CB114">
        <f t="shared" si="136"/>
        <v>0.34173573049958517</v>
      </c>
      <c r="CC114">
        <f t="shared" si="137"/>
        <v>100.36198752308664</v>
      </c>
      <c r="CE114" s="49">
        <f>BY114*パラメーター!$D$5</f>
        <v>0.95971251043411043</v>
      </c>
    </row>
    <row r="115" spans="4:83">
      <c r="D115">
        <f>'主翼(型紙出力)'!B118</f>
        <v>67</v>
      </c>
      <c r="E115">
        <f>'主翼(型紙出力)'!AP118</f>
        <v>10.16488770793296</v>
      </c>
      <c r="F115">
        <f>'主翼(型紙出力)'!AQ118</f>
        <v>0.83630524015422458</v>
      </c>
      <c r="G115">
        <f>'主翼(型紙出力)'!E118</f>
        <v>0.15</v>
      </c>
      <c r="H115">
        <f>'主翼(型紙出力)'!D118/1000</f>
        <v>0.5942660550458716</v>
      </c>
      <c r="I115" t="str">
        <f>'主翼(型紙出力)'!H118</f>
        <v>full</v>
      </c>
      <c r="J115" t="str">
        <f>'主翼(型紙出力)'!G118</f>
        <v>3番</v>
      </c>
      <c r="K115">
        <f>'主翼(型紙出力)'!L118</f>
        <v>79.712125522168037</v>
      </c>
      <c r="L115">
        <f>'主翼(型紙出力)'!I118</f>
        <v>61.590499999999899</v>
      </c>
      <c r="M115">
        <f>'主翼(型紙出力)'!M118</f>
        <v>18.121625522168138</v>
      </c>
      <c r="N115" t="str">
        <f>主翼翼型1!$C$3</f>
        <v>QX0026 root.dat</v>
      </c>
      <c r="O115" cm="1">
        <f t="array" ref="O115">_xlfn.LET(
  _xlpm.y,$E115,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5" t="str">
        <f>主翼翼型2!$C$3</f>
        <v>QX0226.dat</v>
      </c>
      <c r="Q115" cm="1">
        <f t="array" ref="Q115">_xlfn.LET(
  _xlpm.y,$E115,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0.40738065763928077</v>
      </c>
      <c r="R115" t="str">
        <f>主翼翼型3!$C$3</f>
        <v>QX0126.dat</v>
      </c>
      <c r="S115" cm="1">
        <f t="array" ref="S115">_xlfn.LET(
  _xlpm.y,$E115,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0.59261934236071923</v>
      </c>
      <c r="T115" t="str">
        <f>主翼翼型4!$C$3</f>
        <v>QX0026 v32.dat</v>
      </c>
      <c r="U115" cm="1">
        <f t="array" ref="U115">_xlfn.LET(
  _xlpm.y,$E115,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5" t="str">
        <f>主翼翼型5!$C$3</f>
        <v>QX0026 v32.dat</v>
      </c>
      <c r="W115" cm="1">
        <f t="array" ref="W115">_xlfn.LET(
  _xlpm.y,$E115,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5" s="233">
        <f t="shared" si="116"/>
        <v>3.2237617644150993E-2</v>
      </c>
      <c r="Y115" s="233">
        <f t="shared" si="86"/>
        <v>8.9261111249956465E-4</v>
      </c>
      <c r="Z115" s="233">
        <f t="shared" si="117"/>
        <v>8.3999999999999995E-5</v>
      </c>
      <c r="AA115" s="233">
        <f t="shared" si="87"/>
        <v>2.8214035990952954E-4</v>
      </c>
      <c r="AB115" s="233">
        <f t="shared" si="118"/>
        <v>2.0000000000000002E-5</v>
      </c>
      <c r="AC115" s="233">
        <f t="shared" si="119"/>
        <v>2.2566332350905694E-4</v>
      </c>
      <c r="AD115">
        <f t="shared" si="88"/>
        <v>1.3389166687493469E-4</v>
      </c>
      <c r="AE115">
        <f t="shared" si="89"/>
        <v>1.26E-5</v>
      </c>
      <c r="AF115">
        <f t="shared" si="120"/>
        <v>1.9749825193667068E-6</v>
      </c>
      <c r="AG115">
        <f t="shared" si="121"/>
        <v>3.0000000000000001E-6</v>
      </c>
      <c r="AH115" t="str">
        <f t="shared" si="122"/>
        <v/>
      </c>
      <c r="AI115" t="str">
        <f t="shared" si="90"/>
        <v/>
      </c>
      <c r="AJ115" t="str">
        <f t="shared" si="123"/>
        <v/>
      </c>
      <c r="AK115" t="str">
        <f t="shared" si="124"/>
        <v/>
      </c>
      <c r="AL115" t="str">
        <f t="shared" si="91"/>
        <v/>
      </c>
      <c r="AM115" t="str">
        <f t="shared" si="125"/>
        <v/>
      </c>
      <c r="AN115" t="str">
        <f t="shared" si="92"/>
        <v/>
      </c>
      <c r="AO115" s="146"/>
      <c r="AP115" t="str">
        <f t="shared" si="93"/>
        <v/>
      </c>
      <c r="AQ115" t="str">
        <f t="shared" si="94"/>
        <v/>
      </c>
      <c r="AR115" t="str">
        <f t="shared" si="95"/>
        <v/>
      </c>
      <c r="AS115" t="str">
        <f t="shared" si="96"/>
        <v/>
      </c>
      <c r="AT115" t="str">
        <f t="shared" si="97"/>
        <v/>
      </c>
      <c r="AU115" t="str">
        <f t="shared" si="98"/>
        <v/>
      </c>
      <c r="AV115" t="str">
        <f t="shared" si="126"/>
        <v/>
      </c>
      <c r="AW115" s="146"/>
      <c r="AX115" t="str">
        <f t="shared" si="99"/>
        <v/>
      </c>
      <c r="AY115" t="str">
        <f t="shared" si="100"/>
        <v/>
      </c>
      <c r="AZ115" t="str">
        <f t="shared" si="101"/>
        <v/>
      </c>
      <c r="BA115" t="str">
        <f t="shared" si="102"/>
        <v/>
      </c>
      <c r="BB115" t="str">
        <f t="shared" si="103"/>
        <v/>
      </c>
      <c r="BC115" t="str">
        <f t="shared" si="104"/>
        <v/>
      </c>
      <c r="BD115" t="str">
        <f t="shared" si="127"/>
        <v/>
      </c>
      <c r="BE115" s="146"/>
      <c r="BF115">
        <f t="shared" si="105"/>
        <v>6.0929097347445374E-3</v>
      </c>
      <c r="BG115">
        <f t="shared" si="106"/>
        <v>1.1380791684369449E-2</v>
      </c>
      <c r="BH115">
        <f t="shared" si="107"/>
        <v>1.0072410848770204E-3</v>
      </c>
      <c r="BI115">
        <f t="shared" si="108"/>
        <v>2.9624737790500603E-3</v>
      </c>
      <c r="BJ115">
        <f t="shared" si="109"/>
        <v>4.5000000000000005E-3</v>
      </c>
      <c r="BK115">
        <f t="shared" si="110"/>
        <v>1.1605636494192408E-2</v>
      </c>
      <c r="BL115">
        <f t="shared" si="128"/>
        <v>-6.7139954025388759E-3</v>
      </c>
      <c r="BM115" s="146"/>
      <c r="BN115" t="str">
        <f t="shared" si="129"/>
        <v/>
      </c>
      <c r="BO115" t="str">
        <f t="shared" si="130"/>
        <v/>
      </c>
      <c r="BP115" t="str">
        <f t="shared" si="111"/>
        <v/>
      </c>
      <c r="BQ115" t="str">
        <f t="shared" si="112"/>
        <v/>
      </c>
      <c r="BR115" t="str">
        <f t="shared" si="113"/>
        <v/>
      </c>
      <c r="BS115" t="str">
        <f t="shared" si="114"/>
        <v/>
      </c>
      <c r="BT115" t="str">
        <f t="shared" si="115"/>
        <v/>
      </c>
      <c r="BU115" t="str">
        <f t="shared" si="131"/>
        <v/>
      </c>
      <c r="BV115" t="str">
        <f t="shared" si="132"/>
        <v/>
      </c>
      <c r="BW115">
        <f>'主翼(桁)'!BG112</f>
        <v>6.7469137960106576E-2</v>
      </c>
      <c r="BX115">
        <f t="shared" si="133"/>
        <v>3.0835057374694601E-2</v>
      </c>
      <c r="BY115">
        <f t="shared" si="134"/>
        <v>9.830419533480117E-2</v>
      </c>
      <c r="CA115">
        <f t="shared" si="135"/>
        <v>103.70363163050645</v>
      </c>
      <c r="CB115">
        <f t="shared" si="136"/>
        <v>0.37868951561985037</v>
      </c>
      <c r="CC115">
        <f t="shared" si="137"/>
        <v>103.3249421148866</v>
      </c>
      <c r="CE115" s="49">
        <f>BY115*パラメーター!$D$5</f>
        <v>0.96308620169504711</v>
      </c>
    </row>
    <row r="116" spans="4:83">
      <c r="D116">
        <f>'主翼(型紙出力)'!B119</f>
        <v>68</v>
      </c>
      <c r="E116">
        <f>'主翼(型紙出力)'!AP119</f>
        <v>10.311658323951075</v>
      </c>
      <c r="F116">
        <f>'主翼(型紙出力)'!AQ119</f>
        <v>0.86726305457422415</v>
      </c>
      <c r="G116">
        <f>'主翼(型紙出力)'!E119</f>
        <v>0.15</v>
      </c>
      <c r="H116">
        <f>'主翼(型紙出力)'!D119/1000</f>
        <v>0.59151376146788992</v>
      </c>
      <c r="I116" t="str">
        <f>'主翼(型紙出力)'!H119</f>
        <v>half</v>
      </c>
      <c r="J116" t="str">
        <f>'主翼(型紙出力)'!G119</f>
        <v>3番</v>
      </c>
      <c r="K116">
        <f>'主翼(型紙出力)'!L119</f>
        <v>79.037446841956694</v>
      </c>
      <c r="L116">
        <f>'主翼(型紙出力)'!I119</f>
        <v>60.315499999999908</v>
      </c>
      <c r="M116">
        <f>'主翼(型紙出力)'!M119</f>
        <v>18.721946841956786</v>
      </c>
      <c r="N116" t="str">
        <f>主翼翼型1!$C$3</f>
        <v>QX0026 root.dat</v>
      </c>
      <c r="O116" cm="1">
        <f t="array" ref="O116">_xlfn.LET(
  _xlpm.y,$E116,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6" t="str">
        <f>主翼翼型2!$C$3</f>
        <v>QX0226.dat</v>
      </c>
      <c r="Q116" cm="1">
        <f t="array" ref="Q116">_xlfn.LET(
  _xlpm.y,$E116,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0.35351988111887167</v>
      </c>
      <c r="R116" t="str">
        <f>主翼翼型3!$C$3</f>
        <v>QX0126.dat</v>
      </c>
      <c r="S116" cm="1">
        <f t="array" ref="S116">_xlfn.LET(
  _xlpm.y,$E116,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0.64648011888112833</v>
      </c>
      <c r="T116" t="str">
        <f>主翼翼型4!$C$3</f>
        <v>QX0026 v32.dat</v>
      </c>
      <c r="U116" cm="1">
        <f t="array" ref="U116">_xlfn.LET(
  _xlpm.y,$E116,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6" t="str">
        <f>主翼翼型5!$C$3</f>
        <v>QX0026 v32.dat</v>
      </c>
      <c r="W116" cm="1">
        <f t="array" ref="W116">_xlfn.LET(
  _xlpm.y,$E116,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6" s="233">
        <f t="shared" si="116"/>
        <v>2.1476551643029976E-2</v>
      </c>
      <c r="Y116" s="233">
        <f t="shared" si="86"/>
        <v>8.8775512053568392E-4</v>
      </c>
      <c r="Z116" s="233">
        <f t="shared" si="117"/>
        <v>8.3999999999999995E-5</v>
      </c>
      <c r="AA116" s="233">
        <f t="shared" si="87"/>
        <v>2.8091915715606927E-4</v>
      </c>
      <c r="AB116" s="233">
        <f t="shared" si="118"/>
        <v>2.0000000000000002E-5</v>
      </c>
      <c r="AC116" s="233">
        <f t="shared" si="119"/>
        <v>1.5033586150120984E-4</v>
      </c>
      <c r="AD116">
        <f t="shared" si="88"/>
        <v>1.3316326808035259E-4</v>
      </c>
      <c r="AE116">
        <f t="shared" si="89"/>
        <v>1.26E-5</v>
      </c>
      <c r="AF116">
        <f t="shared" si="120"/>
        <v>1.9664341000924849E-6</v>
      </c>
      <c r="AG116">
        <f t="shared" si="121"/>
        <v>3.0000000000000001E-6</v>
      </c>
      <c r="AH116" t="str">
        <f t="shared" si="122"/>
        <v/>
      </c>
      <c r="AI116" t="str">
        <f t="shared" si="90"/>
        <v/>
      </c>
      <c r="AJ116" t="str">
        <f t="shared" si="123"/>
        <v/>
      </c>
      <c r="AK116" t="str">
        <f t="shared" si="124"/>
        <v/>
      </c>
      <c r="AL116" t="str">
        <f t="shared" si="91"/>
        <v/>
      </c>
      <c r="AM116" t="str">
        <f t="shared" si="125"/>
        <v/>
      </c>
      <c r="AN116" t="str">
        <f t="shared" si="92"/>
        <v/>
      </c>
      <c r="AO116" s="146"/>
      <c r="AP116" t="str">
        <f t="shared" si="93"/>
        <v/>
      </c>
      <c r="AQ116" t="str">
        <f t="shared" si="94"/>
        <v/>
      </c>
      <c r="AR116" t="str">
        <f t="shared" si="95"/>
        <v/>
      </c>
      <c r="AS116" t="str">
        <f t="shared" si="96"/>
        <v/>
      </c>
      <c r="AT116" t="str">
        <f t="shared" si="97"/>
        <v/>
      </c>
      <c r="AU116" t="str">
        <f t="shared" si="98"/>
        <v/>
      </c>
      <c r="AV116" t="str">
        <f t="shared" si="126"/>
        <v/>
      </c>
      <c r="AW116" s="146"/>
      <c r="AX116" t="str">
        <f t="shared" si="99"/>
        <v/>
      </c>
      <c r="AY116" t="str">
        <f t="shared" si="100"/>
        <v/>
      </c>
      <c r="AZ116" t="str">
        <f t="shared" si="101"/>
        <v/>
      </c>
      <c r="BA116" t="str">
        <f t="shared" si="102"/>
        <v/>
      </c>
      <c r="BB116" t="str">
        <f t="shared" si="103"/>
        <v/>
      </c>
      <c r="BC116" t="str">
        <f t="shared" si="104"/>
        <v/>
      </c>
      <c r="BD116" t="str">
        <f t="shared" si="127"/>
        <v/>
      </c>
      <c r="BE116" s="146"/>
      <c r="BF116">
        <f t="shared" si="105"/>
        <v>4.0590682605326656E-3</v>
      </c>
      <c r="BG116">
        <f t="shared" si="106"/>
        <v>1.1318877786829971E-2</v>
      </c>
      <c r="BH116">
        <f t="shared" si="107"/>
        <v>1.0028813910471673E-3</v>
      </c>
      <c r="BI116">
        <f t="shared" si="108"/>
        <v>2.9496511501387276E-3</v>
      </c>
      <c r="BJ116">
        <f t="shared" si="109"/>
        <v>4.5000000000000005E-3</v>
      </c>
      <c r="BK116">
        <f t="shared" si="110"/>
        <v>1.1560517186053363E-2</v>
      </c>
      <c r="BL116">
        <f t="shared" si="128"/>
        <v>-6.7139954025388759E-3</v>
      </c>
      <c r="BM116" s="146"/>
      <c r="BN116" t="str">
        <f t="shared" si="129"/>
        <v/>
      </c>
      <c r="BO116" t="str">
        <f t="shared" si="130"/>
        <v/>
      </c>
      <c r="BP116" t="str">
        <f t="shared" si="111"/>
        <v/>
      </c>
      <c r="BQ116" t="str">
        <f t="shared" si="112"/>
        <v/>
      </c>
      <c r="BR116" t="str">
        <f t="shared" si="113"/>
        <v/>
      </c>
      <c r="BS116" t="str">
        <f t="shared" si="114"/>
        <v/>
      </c>
      <c r="BT116" t="str">
        <f t="shared" si="115"/>
        <v/>
      </c>
      <c r="BU116" t="str">
        <f t="shared" si="131"/>
        <v/>
      </c>
      <c r="BV116" t="str">
        <f t="shared" si="132"/>
        <v/>
      </c>
      <c r="BW116">
        <f>'主翼(桁)'!BG113</f>
        <v>6.6011825777436417E-2</v>
      </c>
      <c r="BX116">
        <f t="shared" si="133"/>
        <v>2.8677000372063013E-2</v>
      </c>
      <c r="BY116">
        <f t="shared" si="134"/>
        <v>9.468882614949943E-2</v>
      </c>
      <c r="CA116">
        <f t="shared" si="135"/>
        <v>106.74804677910996</v>
      </c>
      <c r="CB116">
        <f t="shared" si="136"/>
        <v>0.41774938920045229</v>
      </c>
      <c r="CC116">
        <f t="shared" si="137"/>
        <v>106.3302973899095</v>
      </c>
      <c r="CE116" s="49">
        <f>BY116*パラメーター!$D$5</f>
        <v>0.92766642978664593</v>
      </c>
    </row>
    <row r="117" spans="4:83">
      <c r="D117">
        <f>'主翼(型紙出力)'!B120</f>
        <v>69</v>
      </c>
      <c r="E117">
        <f>'主翼(型紙出力)'!AP120</f>
        <v>10.458396351755198</v>
      </c>
      <c r="F117">
        <f>'主翼(型紙出力)'!AQ120</f>
        <v>0.89837496862907928</v>
      </c>
      <c r="G117">
        <f>'主翼(型紙出力)'!E120</f>
        <v>0.15</v>
      </c>
      <c r="H117">
        <f>'主翼(型紙出力)'!D120/1000</f>
        <v>0.58876146788990824</v>
      </c>
      <c r="I117" t="str">
        <f>'主翼(型紙出力)'!H120</f>
        <v>full</v>
      </c>
      <c r="J117" t="str">
        <f>'主翼(型紙出力)'!G120</f>
        <v>3番</v>
      </c>
      <c r="K117">
        <f>'主翼(型紙出力)'!L120</f>
        <v>78.365611111398522</v>
      </c>
      <c r="L117">
        <f>'主翼(型紙出力)'!I120</f>
        <v>59.040499999999902</v>
      </c>
      <c r="M117">
        <f>'主翼(型紙出力)'!M120</f>
        <v>19.32511111139862</v>
      </c>
      <c r="N117" t="str">
        <f>主翼翼型1!$C$3</f>
        <v>QX0026 root.dat</v>
      </c>
      <c r="O117" cm="1">
        <f t="array" ref="O117">_xlfn.LET(
  _xlpm.y,$E117,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7" t="str">
        <f>主翼翼型2!$C$3</f>
        <v>QX0226.dat</v>
      </c>
      <c r="Q117" cm="1">
        <f t="array" ref="Q117">_xlfn.LET(
  _xlpm.y,$E117,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0.29967106357607431</v>
      </c>
      <c r="R117" t="str">
        <f>主翼翼型3!$C$3</f>
        <v>QX0126.dat</v>
      </c>
      <c r="S117" cm="1">
        <f t="array" ref="S117">_xlfn.LET(
  _xlpm.y,$E117,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0.70032893642392569</v>
      </c>
      <c r="T117" t="str">
        <f>主翼翼型4!$C$3</f>
        <v>QX0026 v32.dat</v>
      </c>
      <c r="U117" cm="1">
        <f t="array" ref="U117">_xlfn.LET(
  _xlpm.y,$E117,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7" t="str">
        <f>主翼翼型5!$C$3</f>
        <v>QX0026 v32.dat</v>
      </c>
      <c r="W117" cm="1">
        <f t="array" ref="W117">_xlfn.LET(
  _xlpm.y,$E117,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7" s="233">
        <f t="shared" si="116"/>
        <v>3.1400295614193545E-2</v>
      </c>
      <c r="Y117" s="233">
        <f t="shared" si="86"/>
        <v>8.8290600642950876E-4</v>
      </c>
      <c r="Z117" s="233">
        <f t="shared" si="117"/>
        <v>8.3999999999999995E-5</v>
      </c>
      <c r="AA117" s="233">
        <f t="shared" si="87"/>
        <v>2.7969713978542659E-4</v>
      </c>
      <c r="AB117" s="233">
        <f t="shared" si="118"/>
        <v>2.0000000000000002E-5</v>
      </c>
      <c r="AC117" s="233">
        <f t="shared" si="119"/>
        <v>2.1980206929935481E-4</v>
      </c>
      <c r="AD117">
        <f t="shared" si="88"/>
        <v>1.324359009644263E-4</v>
      </c>
      <c r="AE117">
        <f t="shared" si="89"/>
        <v>1.26E-5</v>
      </c>
      <c r="AF117">
        <f t="shared" si="120"/>
        <v>1.9578799784979863E-6</v>
      </c>
      <c r="AG117">
        <f t="shared" si="121"/>
        <v>3.0000000000000001E-6</v>
      </c>
      <c r="AH117" t="str">
        <f t="shared" si="122"/>
        <v/>
      </c>
      <c r="AI117" t="str">
        <f t="shared" si="90"/>
        <v/>
      </c>
      <c r="AJ117" t="str">
        <f t="shared" si="123"/>
        <v/>
      </c>
      <c r="AK117" t="str">
        <f t="shared" si="124"/>
        <v/>
      </c>
      <c r="AL117" t="str">
        <f t="shared" si="91"/>
        <v/>
      </c>
      <c r="AM117" t="str">
        <f t="shared" si="125"/>
        <v/>
      </c>
      <c r="AN117" t="str">
        <f t="shared" si="92"/>
        <v/>
      </c>
      <c r="AO117" s="146"/>
      <c r="AP117" t="str">
        <f t="shared" si="93"/>
        <v/>
      </c>
      <c r="AQ117" t="str">
        <f t="shared" si="94"/>
        <v/>
      </c>
      <c r="AR117" t="str">
        <f t="shared" si="95"/>
        <v/>
      </c>
      <c r="AS117" t="str">
        <f t="shared" si="96"/>
        <v/>
      </c>
      <c r="AT117" t="str">
        <f t="shared" si="97"/>
        <v/>
      </c>
      <c r="AU117" t="str">
        <f t="shared" si="98"/>
        <v/>
      </c>
      <c r="AV117" t="str">
        <f t="shared" si="126"/>
        <v/>
      </c>
      <c r="AW117" s="146"/>
      <c r="AX117" t="str">
        <f t="shared" si="99"/>
        <v/>
      </c>
      <c r="AY117" t="str">
        <f t="shared" si="100"/>
        <v/>
      </c>
      <c r="AZ117" t="str">
        <f t="shared" si="101"/>
        <v/>
      </c>
      <c r="BA117" t="str">
        <f t="shared" si="102"/>
        <v/>
      </c>
      <c r="BB117" t="str">
        <f t="shared" si="103"/>
        <v/>
      </c>
      <c r="BC117" t="str">
        <f t="shared" si="104"/>
        <v/>
      </c>
      <c r="BD117" t="str">
        <f t="shared" si="127"/>
        <v/>
      </c>
      <c r="BE117" s="146"/>
      <c r="BF117">
        <f t="shared" si="105"/>
        <v>5.9346558710825798E-3</v>
      </c>
      <c r="BG117">
        <f t="shared" si="106"/>
        <v>1.1257051581976235E-2</v>
      </c>
      <c r="BH117">
        <f t="shared" si="107"/>
        <v>9.9851878903397303E-4</v>
      </c>
      <c r="BI117">
        <f t="shared" si="108"/>
        <v>2.9368199677469796E-3</v>
      </c>
      <c r="BJ117">
        <f t="shared" si="109"/>
        <v>4.5000000000000005E-3</v>
      </c>
      <c r="BK117">
        <f t="shared" si="110"/>
        <v>1.1515511504713406E-2</v>
      </c>
      <c r="BL117">
        <f t="shared" si="128"/>
        <v>-6.7139954025388759E-3</v>
      </c>
      <c r="BM117" s="146"/>
      <c r="BN117" t="str">
        <f t="shared" si="129"/>
        <v/>
      </c>
      <c r="BO117" t="str">
        <f t="shared" si="130"/>
        <v/>
      </c>
      <c r="BP117" t="str">
        <f t="shared" si="111"/>
        <v/>
      </c>
      <c r="BQ117" t="str">
        <f t="shared" si="112"/>
        <v/>
      </c>
      <c r="BR117" t="str">
        <f t="shared" si="113"/>
        <v/>
      </c>
      <c r="BS117" t="str">
        <f t="shared" si="114"/>
        <v/>
      </c>
      <c r="BT117" t="str">
        <f t="shared" si="115"/>
        <v/>
      </c>
      <c r="BU117" t="str">
        <f t="shared" si="131"/>
        <v/>
      </c>
      <c r="BV117" t="str">
        <f t="shared" si="132"/>
        <v/>
      </c>
      <c r="BW117">
        <f>'主翼(桁)'!BG114</f>
        <v>6.4554513594766216E-2</v>
      </c>
      <c r="BX117">
        <f t="shared" si="133"/>
        <v>3.0428562312014296E-2</v>
      </c>
      <c r="BY117">
        <f t="shared" si="134"/>
        <v>9.4983075906780512E-2</v>
      </c>
      <c r="CA117">
        <f t="shared" si="135"/>
        <v>109.83698905074125</v>
      </c>
      <c r="CB117">
        <f t="shared" si="136"/>
        <v>0.45893480033481521</v>
      </c>
      <c r="CC117">
        <f t="shared" si="137"/>
        <v>109.37805425040644</v>
      </c>
      <c r="CE117" s="49">
        <f>BY117*パラメーター!$D$5</f>
        <v>0.93054919465872876</v>
      </c>
    </row>
    <row r="118" spans="4:83">
      <c r="D118">
        <f>'主翼(型紙出力)'!B121</f>
        <v>70</v>
      </c>
      <c r="E118">
        <f>'主翼(型紙出力)'!AP121</f>
        <v>10.605103388769908</v>
      </c>
      <c r="F118">
        <f>'主翼(型紙出力)'!AQ121</f>
        <v>0.92963269232041934</v>
      </c>
      <c r="G118">
        <f>'主翼(型紙出力)'!E121</f>
        <v>0.15</v>
      </c>
      <c r="H118">
        <f>'主翼(型紙出力)'!D121/1000</f>
        <v>0.58600917431192656</v>
      </c>
      <c r="I118" t="str">
        <f>'主翼(型紙出力)'!H121</f>
        <v>half</v>
      </c>
      <c r="J118" t="str">
        <f>'主翼(型紙出力)'!G121</f>
        <v>3番</v>
      </c>
      <c r="K118">
        <f>'主翼(型紙出力)'!L121</f>
        <v>77.696618330493507</v>
      </c>
      <c r="L118">
        <f>'主翼(型紙出力)'!I121</f>
        <v>57.765499999999896</v>
      </c>
      <c r="M118">
        <f>'主翼(型紙出力)'!M121</f>
        <v>19.931118330493611</v>
      </c>
      <c r="N118" t="str">
        <f>主翼翼型1!$C$3</f>
        <v>QX0026 root.dat</v>
      </c>
      <c r="O118" cm="1">
        <f t="array" ref="O118">_xlfn.LET(
  _xlpm.y,$E118,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8" t="str">
        <f>主翼翼型2!$C$3</f>
        <v>QX0226.dat</v>
      </c>
      <c r="Q118" cm="1">
        <f t="array" ref="Q118">_xlfn.LET(
  _xlpm.y,$E118,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0.24583361880003374</v>
      </c>
      <c r="R118" t="str">
        <f>主翼翼型3!$C$3</f>
        <v>QX0126.dat</v>
      </c>
      <c r="S118" cm="1">
        <f t="array" ref="S118">_xlfn.LET(
  _xlpm.y,$E118,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0.75416638119996626</v>
      </c>
      <c r="T118" t="str">
        <f>主翼翼型4!$C$3</f>
        <v>QX0026 v32.dat</v>
      </c>
      <c r="U118" cm="1">
        <f t="array" ref="U118">_xlfn.LET(
  _xlpm.y,$E118,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8" t="str">
        <f>主翼翼型5!$C$3</f>
        <v>QX0026 v32.dat</v>
      </c>
      <c r="W118" cm="1">
        <f t="array" ref="W118">_xlfn.LET(
  _xlpm.y,$E118,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8" s="233">
        <f t="shared" si="116"/>
        <v>2.0916323457723502E-2</v>
      </c>
      <c r="Y118" s="233">
        <f t="shared" si="86"/>
        <v>8.7806376015916738E-4</v>
      </c>
      <c r="Z118" s="233">
        <f t="shared" si="117"/>
        <v>8.3999999999999995E-5</v>
      </c>
      <c r="AA118" s="233">
        <f t="shared" si="87"/>
        <v>2.7847430898459747E-4</v>
      </c>
      <c r="AB118" s="233">
        <f t="shared" si="118"/>
        <v>2.0000000000000002E-5</v>
      </c>
      <c r="AC118" s="233">
        <f t="shared" si="119"/>
        <v>1.4641426420406451E-4</v>
      </c>
      <c r="AD118">
        <f t="shared" si="88"/>
        <v>1.3170956402387511E-4</v>
      </c>
      <c r="AE118">
        <f t="shared" si="89"/>
        <v>1.26E-5</v>
      </c>
      <c r="AF118">
        <f t="shared" si="120"/>
        <v>1.9493201628921825E-6</v>
      </c>
      <c r="AG118">
        <f t="shared" si="121"/>
        <v>3.0000000000000001E-6</v>
      </c>
      <c r="AH118" t="str">
        <f t="shared" si="122"/>
        <v/>
      </c>
      <c r="AI118" t="str">
        <f t="shared" si="90"/>
        <v/>
      </c>
      <c r="AJ118" t="str">
        <f t="shared" si="123"/>
        <v/>
      </c>
      <c r="AK118" t="str">
        <f t="shared" si="124"/>
        <v/>
      </c>
      <c r="AL118" t="str">
        <f t="shared" si="91"/>
        <v/>
      </c>
      <c r="AM118" t="str">
        <f t="shared" si="125"/>
        <v/>
      </c>
      <c r="AN118" t="str">
        <f t="shared" si="92"/>
        <v/>
      </c>
      <c r="AO118" s="146"/>
      <c r="AP118" t="str">
        <f t="shared" si="93"/>
        <v/>
      </c>
      <c r="AQ118" t="str">
        <f t="shared" si="94"/>
        <v/>
      </c>
      <c r="AR118" t="str">
        <f t="shared" si="95"/>
        <v/>
      </c>
      <c r="AS118" t="str">
        <f t="shared" si="96"/>
        <v/>
      </c>
      <c r="AT118" t="str">
        <f t="shared" si="97"/>
        <v/>
      </c>
      <c r="AU118" t="str">
        <f t="shared" si="98"/>
        <v/>
      </c>
      <c r="AV118" t="str">
        <f t="shared" si="126"/>
        <v/>
      </c>
      <c r="AW118" s="146"/>
      <c r="AX118" t="str">
        <f t="shared" si="99"/>
        <v/>
      </c>
      <c r="AY118" t="str">
        <f t="shared" si="100"/>
        <v/>
      </c>
      <c r="AZ118" t="str">
        <f t="shared" si="101"/>
        <v/>
      </c>
      <c r="BA118" t="str">
        <f t="shared" si="102"/>
        <v/>
      </c>
      <c r="BB118" t="str">
        <f t="shared" si="103"/>
        <v/>
      </c>
      <c r="BC118" t="str">
        <f t="shared" si="104"/>
        <v/>
      </c>
      <c r="BD118" t="str">
        <f t="shared" si="127"/>
        <v/>
      </c>
      <c r="BE118" s="146"/>
      <c r="BF118">
        <f t="shared" si="105"/>
        <v>3.953185133509742E-3</v>
      </c>
      <c r="BG118">
        <f t="shared" si="106"/>
        <v>1.1195312942029384E-2</v>
      </c>
      <c r="BH118">
        <f t="shared" si="107"/>
        <v>9.9415328307501309E-4</v>
      </c>
      <c r="BI118">
        <f t="shared" si="108"/>
        <v>2.9239802443382736E-3</v>
      </c>
      <c r="BJ118">
        <f t="shared" si="109"/>
        <v>4.5000000000000005E-3</v>
      </c>
      <c r="BK118">
        <f t="shared" si="110"/>
        <v>1.1470619450172543E-2</v>
      </c>
      <c r="BL118">
        <f t="shared" si="128"/>
        <v>-6.7139954025388759E-3</v>
      </c>
      <c r="BM118" s="146"/>
      <c r="BN118" t="str">
        <f t="shared" si="129"/>
        <v/>
      </c>
      <c r="BO118" t="str">
        <f t="shared" si="130"/>
        <v/>
      </c>
      <c r="BP118" t="str">
        <f t="shared" si="111"/>
        <v/>
      </c>
      <c r="BQ118" t="str">
        <f t="shared" si="112"/>
        <v/>
      </c>
      <c r="BR118" t="str">
        <f t="shared" si="113"/>
        <v/>
      </c>
      <c r="BS118" t="str">
        <f t="shared" si="114"/>
        <v/>
      </c>
      <c r="BT118" t="str">
        <f t="shared" si="115"/>
        <v/>
      </c>
      <c r="BU118" t="str">
        <f t="shared" si="131"/>
        <v/>
      </c>
      <c r="BV118" t="str">
        <f t="shared" si="132"/>
        <v/>
      </c>
      <c r="BW118">
        <f>'主翼(桁)'!BG115</f>
        <v>6.3097201412095988E-2</v>
      </c>
      <c r="BX118">
        <f t="shared" si="133"/>
        <v>2.8323255650586077E-2</v>
      </c>
      <c r="BY118">
        <f t="shared" si="134"/>
        <v>9.1420457062682065E-2</v>
      </c>
      <c r="CA118">
        <f t="shared" si="135"/>
        <v>112.97048065113434</v>
      </c>
      <c r="CB118">
        <f t="shared" si="136"/>
        <v>0.50226276463534247</v>
      </c>
      <c r="CC118">
        <f t="shared" si="137"/>
        <v>112.46821788649899</v>
      </c>
      <c r="CE118" s="49">
        <f>BY118*パラメーター!$D$5</f>
        <v>0.89564621784309628</v>
      </c>
    </row>
    <row r="119" spans="4:83">
      <c r="D119">
        <f>'主翼(型紙出力)'!B122</f>
        <v>71</v>
      </c>
      <c r="E119">
        <f>'主翼(型紙出力)'!AP122</f>
        <v>10.751781201433024</v>
      </c>
      <c r="F119">
        <f>'主翼(型紙出力)'!AQ122</f>
        <v>0.96102726625229029</v>
      </c>
      <c r="G119">
        <f>'主翼(型紙出力)'!E122</f>
        <v>0.15</v>
      </c>
      <c r="H119">
        <f>'主翼(型紙出力)'!D122/1000</f>
        <v>0.58325688073394488</v>
      </c>
      <c r="I119" t="str">
        <f>'主翼(型紙出力)'!H122</f>
        <v>full</v>
      </c>
      <c r="J119" t="str">
        <f>'主翼(型紙出力)'!G122</f>
        <v>3番</v>
      </c>
      <c r="K119">
        <f>'主翼(型紙出力)'!L122</f>
        <v>77.030468499241636</v>
      </c>
      <c r="L119">
        <f>'主翼(型紙出力)'!I122</f>
        <v>56.490499999999891</v>
      </c>
      <c r="M119">
        <f>'主翼(型紙出力)'!M122</f>
        <v>20.539968499241745</v>
      </c>
      <c r="N119" t="str">
        <f>主翼翼型1!$C$3</f>
        <v>QX0026 root.dat</v>
      </c>
      <c r="O119" cm="1">
        <f t="array" ref="O119">_xlfn.LET(
  _xlpm.y,$E119,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9" t="str">
        <f>主翼翼型2!$C$3</f>
        <v>QX0226.dat</v>
      </c>
      <c r="Q119" cm="1">
        <f t="array" ref="Q119">_xlfn.LET(
  _xlpm.y,$E119,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0.19200689855668851</v>
      </c>
      <c r="R119" t="str">
        <f>主翼翼型3!$C$3</f>
        <v>QX0126.dat</v>
      </c>
      <c r="S119" cm="1">
        <f t="array" ref="S119">_xlfn.LET(
  _xlpm.y,$E119,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0.80799310144331149</v>
      </c>
      <c r="T119" t="str">
        <f>主翼翼型4!$C$3</f>
        <v>QX0026 v32.dat</v>
      </c>
      <c r="U119" cm="1">
        <f t="array" ref="U119">_xlfn.LET(
  _xlpm.y,$E119,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9" t="str">
        <f>主翼翼型5!$C$3</f>
        <v>QX0026 v32.dat</v>
      </c>
      <c r="W119" cm="1">
        <f t="array" ref="W119">_xlfn.LET(
  _xlpm.y,$E119,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9" s="233">
        <f t="shared" si="116"/>
        <v>3.0577646223691447E-2</v>
      </c>
      <c r="Y119" s="233">
        <f t="shared" si="86"/>
        <v>8.7322837102928865E-4</v>
      </c>
      <c r="Z119" s="233">
        <f t="shared" si="117"/>
        <v>8.3999999999999995E-5</v>
      </c>
      <c r="AA119" s="233">
        <f t="shared" si="87"/>
        <v>2.7725066602034753E-4</v>
      </c>
      <c r="AB119" s="233">
        <f t="shared" si="118"/>
        <v>2.0000000000000002E-5</v>
      </c>
      <c r="AC119" s="233">
        <f t="shared" si="119"/>
        <v>2.1404352356584015E-4</v>
      </c>
      <c r="AD119">
        <f t="shared" si="88"/>
        <v>1.309842556543933E-4</v>
      </c>
      <c r="AE119">
        <f t="shared" si="89"/>
        <v>1.26E-5</v>
      </c>
      <c r="AF119">
        <f t="shared" si="120"/>
        <v>1.9407546621424326E-6</v>
      </c>
      <c r="AG119">
        <f t="shared" si="121"/>
        <v>3.0000000000000001E-6</v>
      </c>
      <c r="AH119" t="str">
        <f t="shared" si="122"/>
        <v/>
      </c>
      <c r="AI119" t="str">
        <f t="shared" si="90"/>
        <v/>
      </c>
      <c r="AJ119" t="str">
        <f t="shared" si="123"/>
        <v/>
      </c>
      <c r="AK119" t="str">
        <f t="shared" si="124"/>
        <v/>
      </c>
      <c r="AL119" t="str">
        <f t="shared" si="91"/>
        <v/>
      </c>
      <c r="AM119" t="str">
        <f t="shared" si="125"/>
        <v/>
      </c>
      <c r="AN119" t="str">
        <f t="shared" si="92"/>
        <v/>
      </c>
      <c r="AO119" s="146"/>
      <c r="AP119" t="str">
        <f t="shared" si="93"/>
        <v/>
      </c>
      <c r="AQ119" t="str">
        <f t="shared" si="94"/>
        <v/>
      </c>
      <c r="AR119" t="str">
        <f t="shared" si="95"/>
        <v/>
      </c>
      <c r="AS119" t="str">
        <f t="shared" si="96"/>
        <v/>
      </c>
      <c r="AT119" t="str">
        <f t="shared" si="97"/>
        <v/>
      </c>
      <c r="AU119" t="str">
        <f t="shared" si="98"/>
        <v/>
      </c>
      <c r="AV119" t="str">
        <f t="shared" si="126"/>
        <v/>
      </c>
      <c r="AW119" s="146"/>
      <c r="AX119" t="str">
        <f t="shared" si="99"/>
        <v/>
      </c>
      <c r="AY119" t="str">
        <f t="shared" si="100"/>
        <v/>
      </c>
      <c r="AZ119" t="str">
        <f t="shared" si="101"/>
        <v/>
      </c>
      <c r="BA119" t="str">
        <f t="shared" si="102"/>
        <v/>
      </c>
      <c r="BB119" t="str">
        <f t="shared" si="103"/>
        <v/>
      </c>
      <c r="BC119" t="str">
        <f t="shared" si="104"/>
        <v/>
      </c>
      <c r="BD119" t="str">
        <f t="shared" si="127"/>
        <v/>
      </c>
      <c r="BE119" s="146"/>
      <c r="BF119">
        <f t="shared" si="105"/>
        <v>5.7791751362776837E-3</v>
      </c>
      <c r="BG119">
        <f t="shared" si="106"/>
        <v>1.1133661730623431E-2</v>
      </c>
      <c r="BH119">
        <f t="shared" si="107"/>
        <v>9.8978487769264063E-4</v>
      </c>
      <c r="BI119">
        <f t="shared" si="108"/>
        <v>2.9111319932136489E-3</v>
      </c>
      <c r="BJ119">
        <f t="shared" si="109"/>
        <v>4.5000000000000005E-3</v>
      </c>
      <c r="BK119">
        <f t="shared" si="110"/>
        <v>1.142584102243077E-2</v>
      </c>
      <c r="BL119">
        <f t="shared" si="128"/>
        <v>-6.7139954025388759E-3</v>
      </c>
      <c r="BM119" s="146"/>
      <c r="BN119" t="str">
        <f t="shared" si="129"/>
        <v/>
      </c>
      <c r="BO119" t="str">
        <f t="shared" si="130"/>
        <v/>
      </c>
      <c r="BP119" t="str">
        <f t="shared" si="111"/>
        <v/>
      </c>
      <c r="BQ119" t="str">
        <f t="shared" si="112"/>
        <v/>
      </c>
      <c r="BR119" t="str">
        <f t="shared" si="113"/>
        <v/>
      </c>
      <c r="BS119" t="str">
        <f t="shared" si="114"/>
        <v/>
      </c>
      <c r="BT119" t="str">
        <f t="shared" si="115"/>
        <v/>
      </c>
      <c r="BU119" t="str">
        <f t="shared" si="131"/>
        <v/>
      </c>
      <c r="BV119" t="str">
        <f t="shared" si="132"/>
        <v/>
      </c>
      <c r="BW119">
        <f>'主翼(桁)'!BG116</f>
        <v>6.1639889229425801E-2</v>
      </c>
      <c r="BX119">
        <f t="shared" si="133"/>
        <v>3.0025599357699294E-2</v>
      </c>
      <c r="BY119">
        <f t="shared" si="134"/>
        <v>9.1665488587125088E-2</v>
      </c>
      <c r="CA119">
        <f t="shared" si="135"/>
        <v>116.1485463698842</v>
      </c>
      <c r="CB119">
        <f t="shared" si="136"/>
        <v>0.54774736639563604</v>
      </c>
      <c r="CC119">
        <f t="shared" si="137"/>
        <v>115.60079900348856</v>
      </c>
      <c r="CE119" s="49">
        <f>BY119*パラメーター!$D$5</f>
        <v>0.89804679168806456</v>
      </c>
    </row>
    <row r="120" spans="4:83">
      <c r="D120">
        <f>'主翼(型紙出力)'!B123</f>
        <v>72</v>
      </c>
      <c r="E120">
        <f>'主翼(型紙出力)'!AP123</f>
        <v>10.898431693437699</v>
      </c>
      <c r="F120">
        <f>'主翼(型紙出力)'!AQ123</f>
        <v>0.99254921407895746</v>
      </c>
      <c r="G120">
        <f>'主翼(型紙出力)'!E123</f>
        <v>0.15</v>
      </c>
      <c r="H120">
        <f>'主翼(型紙出力)'!D123/1000</f>
        <v>0.58050458715596331</v>
      </c>
      <c r="I120" t="str">
        <f>'主翼(型紙出力)'!H123</f>
        <v>half</v>
      </c>
      <c r="J120" t="str">
        <f>'主翼(型紙出力)'!G123</f>
        <v>3番</v>
      </c>
      <c r="K120">
        <f>'主翼(型紙出力)'!L123</f>
        <v>76.36716161764295</v>
      </c>
      <c r="L120">
        <f>'主翼(型紙出力)'!I123</f>
        <v>55.215499999999885</v>
      </c>
      <c r="M120">
        <f>'主翼(型紙出力)'!M123</f>
        <v>21.151661617643065</v>
      </c>
      <c r="N120" t="str">
        <f>主翼翼型1!$C$3</f>
        <v>QX0026 root.dat</v>
      </c>
      <c r="O120" cm="1">
        <f t="array" ref="O120">_xlfn.LET(
  _xlpm.y,$E120,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0" t="str">
        <f>主翼翼型2!$C$3</f>
        <v>QX0226.dat</v>
      </c>
      <c r="Q120" cm="1">
        <f t="array" ref="Q120">_xlfn.LET(
  _xlpm.y,$E120,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0.13819020424304651</v>
      </c>
      <c r="R120" t="str">
        <f>主翼翼型3!$C$3</f>
        <v>QX0126.dat</v>
      </c>
      <c r="S120" cm="1">
        <f t="array" ref="S120">_xlfn.LET(
  _xlpm.y,$E120,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0.86180979575695349</v>
      </c>
      <c r="T120" t="str">
        <f>主翼翼型4!$C$3</f>
        <v>QX0026 v32.dat</v>
      </c>
      <c r="U120" cm="1">
        <f t="array" ref="U120">_xlfn.LET(
  _xlpm.y,$E120,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0" t="str">
        <f>主翼翼型5!$C$3</f>
        <v>QX0026 v32.dat</v>
      </c>
      <c r="W120" cm="1">
        <f t="array" ref="W120">_xlfn.LET(
  _xlpm.y,$E120,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0" s="233">
        <f t="shared" si="116"/>
        <v>2.0365950539397191E-2</v>
      </c>
      <c r="Y120" s="233">
        <f t="shared" si="86"/>
        <v>8.6839982784364764E-4</v>
      </c>
      <c r="Z120" s="233">
        <f t="shared" si="117"/>
        <v>8.3999999999999995E-5</v>
      </c>
      <c r="AA120" s="233">
        <f t="shared" si="87"/>
        <v>2.7602621221876363E-4</v>
      </c>
      <c r="AB120" s="233">
        <f t="shared" si="118"/>
        <v>2.0000000000000002E-5</v>
      </c>
      <c r="AC120" s="233">
        <f t="shared" si="119"/>
        <v>1.4256165377578034E-4</v>
      </c>
      <c r="AD120">
        <f t="shared" si="88"/>
        <v>1.3025997417654713E-4</v>
      </c>
      <c r="AE120">
        <f t="shared" si="89"/>
        <v>1.26E-5</v>
      </c>
      <c r="AF120">
        <f t="shared" si="120"/>
        <v>1.9321834855313455E-6</v>
      </c>
      <c r="AG120">
        <f t="shared" si="121"/>
        <v>3.0000000000000001E-6</v>
      </c>
      <c r="AH120" t="str">
        <f t="shared" si="122"/>
        <v/>
      </c>
      <c r="AI120" t="str">
        <f t="shared" si="90"/>
        <v/>
      </c>
      <c r="AJ120" t="str">
        <f t="shared" si="123"/>
        <v/>
      </c>
      <c r="AK120" t="str">
        <f t="shared" si="124"/>
        <v/>
      </c>
      <c r="AL120" t="str">
        <f t="shared" si="91"/>
        <v/>
      </c>
      <c r="AM120" t="str">
        <f t="shared" si="125"/>
        <v/>
      </c>
      <c r="AN120" t="str">
        <f t="shared" si="92"/>
        <v/>
      </c>
      <c r="AO120" s="146"/>
      <c r="AP120" t="str">
        <f t="shared" si="93"/>
        <v/>
      </c>
      <c r="AQ120" t="str">
        <f t="shared" si="94"/>
        <v/>
      </c>
      <c r="AR120" t="str">
        <f t="shared" si="95"/>
        <v/>
      </c>
      <c r="AS120" t="str">
        <f t="shared" si="96"/>
        <v/>
      </c>
      <c r="AT120" t="str">
        <f t="shared" si="97"/>
        <v/>
      </c>
      <c r="AU120" t="str">
        <f t="shared" si="98"/>
        <v/>
      </c>
      <c r="AV120" t="str">
        <f t="shared" si="126"/>
        <v/>
      </c>
      <c r="AW120" s="146"/>
      <c r="AX120" t="str">
        <f t="shared" si="99"/>
        <v/>
      </c>
      <c r="AY120" t="str">
        <f t="shared" si="100"/>
        <v/>
      </c>
      <c r="AZ120" t="str">
        <f t="shared" si="101"/>
        <v/>
      </c>
      <c r="BA120" t="str">
        <f t="shared" si="102"/>
        <v/>
      </c>
      <c r="BB120" t="str">
        <f t="shared" si="103"/>
        <v/>
      </c>
      <c r="BC120" t="str">
        <f t="shared" si="104"/>
        <v/>
      </c>
      <c r="BD120" t="str">
        <f t="shared" si="127"/>
        <v/>
      </c>
      <c r="BE120" s="146"/>
      <c r="BF120">
        <f t="shared" si="105"/>
        <v>3.8491646519460691E-3</v>
      </c>
      <c r="BG120">
        <f t="shared" si="106"/>
        <v>1.1072097805006505E-2</v>
      </c>
      <c r="BH120">
        <f t="shared" si="107"/>
        <v>9.8541357762098629E-4</v>
      </c>
      <c r="BI120">
        <f t="shared" si="108"/>
        <v>2.8982752282970181E-3</v>
      </c>
      <c r="BJ120">
        <f t="shared" si="109"/>
        <v>4.5000000000000005E-3</v>
      </c>
      <c r="BK120">
        <f t="shared" si="110"/>
        <v>1.138117622148809E-2</v>
      </c>
      <c r="BL120">
        <f t="shared" si="128"/>
        <v>-6.7139954025388759E-3</v>
      </c>
      <c r="BM120" s="146"/>
      <c r="BN120" t="str">
        <f t="shared" si="129"/>
        <v/>
      </c>
      <c r="BO120" t="str">
        <f t="shared" si="130"/>
        <v/>
      </c>
      <c r="BP120" t="str">
        <f t="shared" si="111"/>
        <v/>
      </c>
      <c r="BQ120" t="str">
        <f t="shared" si="112"/>
        <v/>
      </c>
      <c r="BR120" t="str">
        <f t="shared" si="113"/>
        <v/>
      </c>
      <c r="BS120" t="str">
        <f t="shared" si="114"/>
        <v/>
      </c>
      <c r="BT120" t="str">
        <f t="shared" si="115"/>
        <v/>
      </c>
      <c r="BU120" t="str">
        <f t="shared" si="131"/>
        <v/>
      </c>
      <c r="BV120" t="str">
        <f t="shared" si="132"/>
        <v/>
      </c>
      <c r="BW120">
        <f>'主翼(桁)'!BG117</f>
        <v>6.0182577046755635E-2</v>
      </c>
      <c r="BX120">
        <f t="shared" si="133"/>
        <v>2.7972132081819791E-2</v>
      </c>
      <c r="BY120">
        <f t="shared" si="134"/>
        <v>8.8154709128575426E-2</v>
      </c>
      <c r="CA120">
        <f t="shared" si="135"/>
        <v>119.3712131358787</v>
      </c>
      <c r="CB120">
        <f t="shared" si="136"/>
        <v>0.59539975935139111</v>
      </c>
      <c r="CC120">
        <f t="shared" si="137"/>
        <v>118.77581337652731</v>
      </c>
      <c r="CE120" s="49">
        <f>BY120*パラメーター!$D$5</f>
        <v>0.86365168533265346</v>
      </c>
    </row>
    <row r="121" spans="4:83">
      <c r="D121">
        <f>'主翼(型紙出力)'!B124</f>
        <v>73</v>
      </c>
      <c r="E121">
        <f>'主翼(型紙出力)'!AP124</f>
        <v>11.045056862463772</v>
      </c>
      <c r="F121">
        <f>'主翼(型紙出力)'!AQ124</f>
        <v>1.0241887432801862</v>
      </c>
      <c r="G121">
        <f>'主翼(型紙出力)'!E124</f>
        <v>0.15</v>
      </c>
      <c r="H121">
        <f>'主翼(型紙出力)'!D124/1000</f>
        <v>0.57775229357798163</v>
      </c>
      <c r="I121" t="str">
        <f>'主翼(型紙出力)'!H124</f>
        <v>full</v>
      </c>
      <c r="J121" t="str">
        <f>'主翼(型紙出力)'!G124</f>
        <v>3番</v>
      </c>
      <c r="K121">
        <f>'主翼(型紙出力)'!L124</f>
        <v>75.706697685697392</v>
      </c>
      <c r="L121">
        <f>'主翼(型紙出力)'!I124</f>
        <v>53.940499999999894</v>
      </c>
      <c r="M121">
        <f>'主翼(型紙出力)'!M124</f>
        <v>21.766197685697499</v>
      </c>
      <c r="N121" t="str">
        <f>主翼翼型1!$C$3</f>
        <v>QX0026 root.dat</v>
      </c>
      <c r="O121" cm="1">
        <f t="array" ref="O121">_xlfn.LET(
  _xlpm.y,$E121,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1" t="str">
        <f>主翼翼型2!$C$3</f>
        <v>QX0226.dat</v>
      </c>
      <c r="Q121" cm="1">
        <f t="array" ref="Q121">_xlfn.LET(
  _xlpm.y,$E121,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8.4382802765588294E-2</v>
      </c>
      <c r="R121" t="str">
        <f>主翼翼型3!$C$3</f>
        <v>QX0126.dat</v>
      </c>
      <c r="S121" cm="1">
        <f t="array" ref="S121">_xlfn.LET(
  _xlpm.y,$E121,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0.91561719723441171</v>
      </c>
      <c r="T121" t="str">
        <f>主翼翼型4!$C$3</f>
        <v>QX0026 v32.dat</v>
      </c>
      <c r="U121" cm="1">
        <f t="array" ref="U121">_xlfn.LET(
  _xlpm.y,$E121,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1" t="str">
        <f>主翼翼型5!$C$3</f>
        <v>QX0026 v32.dat</v>
      </c>
      <c r="W121" cm="1">
        <f t="array" ref="W121">_xlfn.LET(
  _xlpm.y,$E121,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1" s="233">
        <f t="shared" si="116"/>
        <v>2.976952479377163E-2</v>
      </c>
      <c r="Y121" s="233">
        <f t="shared" si="86"/>
        <v>8.6357811912875042E-4</v>
      </c>
      <c r="Z121" s="233">
        <f t="shared" si="117"/>
        <v>8.3999999999999995E-5</v>
      </c>
      <c r="AA121" s="233">
        <f t="shared" si="87"/>
        <v>2.7480094893877257E-4</v>
      </c>
      <c r="AB121" s="233">
        <f t="shared" si="118"/>
        <v>2.0000000000000002E-5</v>
      </c>
      <c r="AC121" s="233">
        <f t="shared" si="119"/>
        <v>2.0838667355640143E-4</v>
      </c>
      <c r="AD121">
        <f t="shared" si="88"/>
        <v>1.2953671786931255E-4</v>
      </c>
      <c r="AE121">
        <f t="shared" si="89"/>
        <v>1.26E-5</v>
      </c>
      <c r="AF121">
        <f t="shared" si="120"/>
        <v>1.9236066425714078E-6</v>
      </c>
      <c r="AG121">
        <f t="shared" si="121"/>
        <v>3.0000000000000001E-6</v>
      </c>
      <c r="AH121" t="str">
        <f t="shared" si="122"/>
        <v/>
      </c>
      <c r="AI121" t="str">
        <f t="shared" si="90"/>
        <v/>
      </c>
      <c r="AJ121" t="str">
        <f t="shared" si="123"/>
        <v/>
      </c>
      <c r="AK121" t="str">
        <f t="shared" si="124"/>
        <v/>
      </c>
      <c r="AL121" t="str">
        <f t="shared" si="91"/>
        <v/>
      </c>
      <c r="AM121" t="str">
        <f t="shared" si="125"/>
        <v/>
      </c>
      <c r="AN121" t="str">
        <f t="shared" si="92"/>
        <v/>
      </c>
      <c r="AO121" s="146"/>
      <c r="AP121" t="str">
        <f t="shared" si="93"/>
        <v/>
      </c>
      <c r="AQ121" t="str">
        <f t="shared" si="94"/>
        <v/>
      </c>
      <c r="AR121" t="str">
        <f t="shared" si="95"/>
        <v/>
      </c>
      <c r="AS121" t="str">
        <f t="shared" si="96"/>
        <v/>
      </c>
      <c r="AT121" t="str">
        <f t="shared" si="97"/>
        <v/>
      </c>
      <c r="AU121" t="str">
        <f t="shared" si="98"/>
        <v/>
      </c>
      <c r="AV121" t="str">
        <f t="shared" si="126"/>
        <v/>
      </c>
      <c r="AW121" s="146"/>
      <c r="AX121" t="str">
        <f t="shared" si="99"/>
        <v/>
      </c>
      <c r="AY121" t="str">
        <f t="shared" si="100"/>
        <v/>
      </c>
      <c r="AZ121" t="str">
        <f t="shared" si="101"/>
        <v/>
      </c>
      <c r="BA121" t="str">
        <f t="shared" si="102"/>
        <v/>
      </c>
      <c r="BB121" t="str">
        <f t="shared" si="103"/>
        <v/>
      </c>
      <c r="BC121" t="str">
        <f t="shared" si="104"/>
        <v/>
      </c>
      <c r="BD121" t="str">
        <f t="shared" si="127"/>
        <v/>
      </c>
      <c r="BE121" s="146"/>
      <c r="BF121">
        <f t="shared" si="105"/>
        <v>5.6264401860228385E-3</v>
      </c>
      <c r="BG121">
        <f t="shared" si="106"/>
        <v>1.1010621018891567E-2</v>
      </c>
      <c r="BH121">
        <f t="shared" si="107"/>
        <v>9.8103938771141805E-4</v>
      </c>
      <c r="BI121">
        <f t="shared" si="108"/>
        <v>2.8854099638571115E-3</v>
      </c>
      <c r="BJ121">
        <f t="shared" si="109"/>
        <v>4.5000000000000005E-3</v>
      </c>
      <c r="BK121">
        <f t="shared" si="110"/>
        <v>1.1336625047344499E-2</v>
      </c>
      <c r="BL121">
        <f t="shared" si="128"/>
        <v>-6.7139954025388759E-3</v>
      </c>
      <c r="BM121" s="146"/>
      <c r="BN121" t="str">
        <f t="shared" si="129"/>
        <v/>
      </c>
      <c r="BO121" t="str">
        <f t="shared" si="130"/>
        <v/>
      </c>
      <c r="BP121" t="str">
        <f t="shared" si="111"/>
        <v/>
      </c>
      <c r="BQ121" t="str">
        <f t="shared" si="112"/>
        <v/>
      </c>
      <c r="BR121" t="str">
        <f t="shared" si="113"/>
        <v/>
      </c>
      <c r="BS121" t="str">
        <f t="shared" si="114"/>
        <v/>
      </c>
      <c r="BT121" t="str">
        <f t="shared" si="115"/>
        <v/>
      </c>
      <c r="BU121" t="str">
        <f t="shared" si="131"/>
        <v/>
      </c>
      <c r="BV121" t="str">
        <f t="shared" si="132"/>
        <v/>
      </c>
      <c r="BW121">
        <f>'主翼(桁)'!BG118</f>
        <v>5.8725264864085421E-2</v>
      </c>
      <c r="BX121">
        <f t="shared" si="133"/>
        <v>2.9626140201288557E-2</v>
      </c>
      <c r="BY121">
        <f t="shared" si="134"/>
        <v>8.8351405065373978E-2</v>
      </c>
      <c r="CA121">
        <f t="shared" si="135"/>
        <v>122.63850939700436</v>
      </c>
      <c r="CB121">
        <f t="shared" si="136"/>
        <v>0.64522830194629244</v>
      </c>
      <c r="CC121">
        <f t="shared" si="137"/>
        <v>121.99328109505807</v>
      </c>
      <c r="CE121" s="49">
        <f>BY121*パラメーター!$D$5</f>
        <v>0.86557871542546894</v>
      </c>
    </row>
    <row r="122" spans="4:83">
      <c r="D122">
        <f>'主翼(型紙出力)'!B125</f>
        <v>74</v>
      </c>
      <c r="E122">
        <f>'主翼(型紙出力)'!AP125</f>
        <v>11.191658791560604</v>
      </c>
      <c r="F122">
        <f>'主翼(型紙出力)'!AQ125</f>
        <v>1.0559357807023968</v>
      </c>
      <c r="G122">
        <f>'主翼(型紙出力)'!E125</f>
        <v>0.15</v>
      </c>
      <c r="H122">
        <f>'主翼(型紙出力)'!D125/1000</f>
        <v>0.57499999999999818</v>
      </c>
      <c r="I122" t="str">
        <f>'主翼(型紙出力)'!H125</f>
        <v>half</v>
      </c>
      <c r="J122" t="str">
        <f>'主翼(型紙出力)'!G125</f>
        <v>3番</v>
      </c>
      <c r="K122">
        <f>'主翼(型紙出力)'!L125</f>
        <v>75.049076703404992</v>
      </c>
      <c r="L122">
        <f>'主翼(型紙出力)'!I125</f>
        <v>52.665499999999888</v>
      </c>
      <c r="M122">
        <f>'主翼(型紙出力)'!M125</f>
        <v>22.383576703405105</v>
      </c>
      <c r="N122" t="str">
        <f>主翼翼型1!$C$3</f>
        <v>QX0026 root.dat</v>
      </c>
      <c r="O122" cm="1">
        <f t="array" ref="O122">_xlfn.LET(
  _xlpm.y,$E122,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2" t="str">
        <f>主翼翼型2!$C$3</f>
        <v>QX0226.dat</v>
      </c>
      <c r="Q122" cm="1">
        <f t="array" ref="Q122">_xlfn.LET(
  _xlpm.y,$E122,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3.0583929702530765E-2</v>
      </c>
      <c r="R122" t="str">
        <f>主翼翼型3!$C$3</f>
        <v>QX0126.dat</v>
      </c>
      <c r="S122" cm="1">
        <f t="array" ref="S122">_xlfn.LET(
  _xlpm.y,$E122,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0.96941607029746923</v>
      </c>
      <c r="T122" t="str">
        <f>主翼翼型4!$C$3</f>
        <v>QX0026 v32.dat</v>
      </c>
      <c r="U122" cm="1">
        <f t="array" ref="U122">_xlfn.LET(
  _xlpm.y,$E122,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2" t="str">
        <f>主翼翼型5!$C$3</f>
        <v>QX0026 v32.dat</v>
      </c>
      <c r="W122" cm="1">
        <f t="array" ref="W122">_xlfn.LET(
  _xlpm.y,$E122,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2" s="233">
        <f t="shared" si="116"/>
        <v>1.982533505241588E-2</v>
      </c>
      <c r="Y122" s="233">
        <f t="shared" si="86"/>
        <v>8.5876323318579198E-4</v>
      </c>
      <c r="Z122" s="233">
        <f t="shared" si="117"/>
        <v>8.3999999999999995E-5</v>
      </c>
      <c r="AA122" s="233">
        <f t="shared" si="87"/>
        <v>2.7357487756598598E-4</v>
      </c>
      <c r="AB122" s="233">
        <f t="shared" si="118"/>
        <v>2.0000000000000002E-5</v>
      </c>
      <c r="AC122" s="233">
        <f t="shared" si="119"/>
        <v>1.3877734536691115E-4</v>
      </c>
      <c r="AD122">
        <f t="shared" si="88"/>
        <v>1.2881448497786878E-4</v>
      </c>
      <c r="AE122">
        <f t="shared" si="89"/>
        <v>1.26E-5</v>
      </c>
      <c r="AF122">
        <f t="shared" si="120"/>
        <v>1.915024142961902E-6</v>
      </c>
      <c r="AG122">
        <f t="shared" si="121"/>
        <v>3.0000000000000001E-6</v>
      </c>
      <c r="AH122" t="str">
        <f t="shared" si="122"/>
        <v/>
      </c>
      <c r="AI122" t="str">
        <f t="shared" si="90"/>
        <v/>
      </c>
      <c r="AJ122" t="str">
        <f t="shared" si="123"/>
        <v/>
      </c>
      <c r="AK122" t="str">
        <f t="shared" si="124"/>
        <v/>
      </c>
      <c r="AL122" t="str">
        <f t="shared" si="91"/>
        <v/>
      </c>
      <c r="AM122" t="str">
        <f t="shared" si="125"/>
        <v/>
      </c>
      <c r="AN122" t="str">
        <f t="shared" si="92"/>
        <v/>
      </c>
      <c r="AO122" s="146"/>
      <c r="AP122" t="str">
        <f t="shared" si="93"/>
        <v/>
      </c>
      <c r="AQ122" t="str">
        <f t="shared" si="94"/>
        <v/>
      </c>
      <c r="AR122" t="str">
        <f t="shared" si="95"/>
        <v/>
      </c>
      <c r="AS122" t="str">
        <f t="shared" si="96"/>
        <v/>
      </c>
      <c r="AT122" t="str">
        <f t="shared" si="97"/>
        <v/>
      </c>
      <c r="AU122" t="str">
        <f t="shared" si="98"/>
        <v/>
      </c>
      <c r="AV122" t="str">
        <f t="shared" si="126"/>
        <v/>
      </c>
      <c r="AW122" s="146"/>
      <c r="AX122" t="str">
        <f t="shared" si="99"/>
        <v/>
      </c>
      <c r="AY122" t="str">
        <f t="shared" si="100"/>
        <v/>
      </c>
      <c r="AZ122" t="str">
        <f t="shared" si="101"/>
        <v/>
      </c>
      <c r="BA122" t="str">
        <f t="shared" si="102"/>
        <v/>
      </c>
      <c r="BB122" t="str">
        <f t="shared" si="103"/>
        <v/>
      </c>
      <c r="BC122" t="str">
        <f t="shared" si="104"/>
        <v/>
      </c>
      <c r="BD122" t="str">
        <f t="shared" si="127"/>
        <v/>
      </c>
      <c r="BE122" s="146"/>
      <c r="BF122">
        <f t="shared" si="105"/>
        <v>3.7469883249066013E-3</v>
      </c>
      <c r="BG122">
        <f t="shared" si="106"/>
        <v>1.0949231223118847E-2</v>
      </c>
      <c r="BH122">
        <f t="shared" si="107"/>
        <v>9.7666231291056995E-4</v>
      </c>
      <c r="BI122">
        <f t="shared" si="108"/>
        <v>2.872536214442853E-3</v>
      </c>
      <c r="BJ122">
        <f t="shared" si="109"/>
        <v>4.5000000000000005E-3</v>
      </c>
      <c r="BK122">
        <f t="shared" si="110"/>
        <v>1.1292187499999971E-2</v>
      </c>
      <c r="BL122">
        <f t="shared" si="128"/>
        <v>-6.7139954025388759E-3</v>
      </c>
      <c r="BM122" s="146"/>
      <c r="BN122" t="str">
        <f t="shared" si="129"/>
        <v/>
      </c>
      <c r="BO122" t="str">
        <f t="shared" si="130"/>
        <v/>
      </c>
      <c r="BP122" t="str">
        <f t="shared" si="111"/>
        <v/>
      </c>
      <c r="BQ122" t="str">
        <f t="shared" si="112"/>
        <v/>
      </c>
      <c r="BR122" t="str">
        <f t="shared" si="113"/>
        <v/>
      </c>
      <c r="BS122" t="str">
        <f t="shared" si="114"/>
        <v/>
      </c>
      <c r="BT122" t="str">
        <f t="shared" si="115"/>
        <v/>
      </c>
      <c r="BU122" t="str">
        <f t="shared" si="131"/>
        <v/>
      </c>
      <c r="BV122" t="str">
        <f t="shared" si="132"/>
        <v/>
      </c>
      <c r="BW122">
        <f>'主翼(桁)'!BG119</f>
        <v>5.7267952681415192E-2</v>
      </c>
      <c r="BX122">
        <f t="shared" si="133"/>
        <v>2.7623610172839964E-2</v>
      </c>
      <c r="BY122">
        <f t="shared" si="134"/>
        <v>8.4891562854255156E-2</v>
      </c>
      <c r="CA122">
        <f t="shared" si="135"/>
        <v>125.95046499978139</v>
      </c>
      <c r="CB122">
        <f t="shared" si="136"/>
        <v>0.69723849306562247</v>
      </c>
      <c r="CC122">
        <f t="shared" si="137"/>
        <v>125.25322650671576</v>
      </c>
      <c r="CE122" s="49">
        <f>BY122*パラメーター!$D$5</f>
        <v>0.83168264128313785</v>
      </c>
    </row>
    <row r="123" spans="4:83">
      <c r="D123">
        <f>'主翼(型紙出力)'!B126</f>
        <v>75</v>
      </c>
      <c r="E123">
        <f>'主翼(型紙出力)'!AP126</f>
        <v>11.3382396377357</v>
      </c>
      <c r="F123">
        <f>'主翼(型紙出力)'!AQ126</f>
        <v>1.0877800193428895</v>
      </c>
      <c r="G123">
        <f>'主翼(型紙出力)'!E126</f>
        <v>0.15</v>
      </c>
      <c r="H123">
        <f>'主翼(型紙出力)'!D126/1000</f>
        <v>0.55083783783783602</v>
      </c>
      <c r="I123" t="str">
        <f>'主翼(型紙出力)'!H126</f>
        <v>full</v>
      </c>
      <c r="J123" t="str">
        <f>'主翼(型紙出力)'!G126</f>
        <v>3番</v>
      </c>
      <c r="K123">
        <f>'主翼(型紙出力)'!L126</f>
        <v>71.895428074834172</v>
      </c>
      <c r="L123">
        <f>'主翼(型紙出力)'!I126</f>
        <v>51.390499999999882</v>
      </c>
      <c r="M123">
        <f>'主翼(型紙出力)'!M126</f>
        <v>20.504928074834289</v>
      </c>
      <c r="N123" t="str">
        <f>主翼翼型1!$C$3</f>
        <v>QX0026 root.dat</v>
      </c>
      <c r="O123" cm="1">
        <f t="array" ref="O123">_xlfn.LET(
  _xlpm.y,$E123,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3" t="str">
        <f>主翼翼型2!$C$3</f>
        <v>QX0226.dat</v>
      </c>
      <c r="Q123" cm="1">
        <f t="array" ref="Q123">_xlfn.LET(
  _xlpm.y,$E123,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23" t="str">
        <f>主翼翼型3!$C$3</f>
        <v>QX0126.dat</v>
      </c>
      <c r="S123" cm="1">
        <f t="array" ref="S123">_xlfn.LET(
  _xlpm.y,$E123,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23" t="str">
        <f>主翼翼型4!$C$3</f>
        <v>QX0026 v32.dat</v>
      </c>
      <c r="U123" cm="1">
        <f t="array" ref="U123">_xlfn.LET(
  _xlpm.y,$E123,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3" t="str">
        <f>主翼翼型5!$C$3</f>
        <v>QX0026 v32.dat</v>
      </c>
      <c r="W123" cm="1">
        <f t="array" ref="W123">_xlfn.LET(
  _xlpm.y,$E123,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3" s="233">
        <f t="shared" si="116"/>
        <v>2.6893970692122095E-2</v>
      </c>
      <c r="Y123" s="233">
        <f t="shared" si="86"/>
        <v>8.2229526270042165E-4</v>
      </c>
      <c r="Z123" s="233">
        <f t="shared" si="117"/>
        <v>8.3999999999999995E-5</v>
      </c>
      <c r="AA123" s="233">
        <f t="shared" si="87"/>
        <v>2.6212416089946484E-4</v>
      </c>
      <c r="AB123" s="233">
        <f t="shared" si="118"/>
        <v>2.0000000000000002E-5</v>
      </c>
      <c r="AC123" s="233">
        <f t="shared" si="119"/>
        <v>1.8825779484485467E-4</v>
      </c>
      <c r="AD123">
        <f t="shared" si="88"/>
        <v>1.2334428940506323E-4</v>
      </c>
      <c r="AE123">
        <f t="shared" si="89"/>
        <v>1.26E-5</v>
      </c>
      <c r="AF123">
        <f t="shared" si="120"/>
        <v>1.8348691262962538E-6</v>
      </c>
      <c r="AG123">
        <f t="shared" si="121"/>
        <v>3.0000000000000001E-6</v>
      </c>
      <c r="AH123" t="str">
        <f t="shared" si="122"/>
        <v/>
      </c>
      <c r="AI123" t="str">
        <f t="shared" si="90"/>
        <v/>
      </c>
      <c r="AJ123" t="str">
        <f t="shared" si="123"/>
        <v/>
      </c>
      <c r="AK123" t="str">
        <f t="shared" si="124"/>
        <v/>
      </c>
      <c r="AL123" t="str">
        <f t="shared" si="91"/>
        <v/>
      </c>
      <c r="AM123" t="str">
        <f t="shared" si="125"/>
        <v/>
      </c>
      <c r="AN123" t="str">
        <f t="shared" si="92"/>
        <v/>
      </c>
      <c r="AO123" s="146"/>
      <c r="AP123" t="str">
        <f t="shared" si="93"/>
        <v/>
      </c>
      <c r="AQ123" t="str">
        <f t="shared" si="94"/>
        <v/>
      </c>
      <c r="AR123" t="str">
        <f t="shared" si="95"/>
        <v/>
      </c>
      <c r="AS123" t="str">
        <f t="shared" si="96"/>
        <v/>
      </c>
      <c r="AT123" t="str">
        <f t="shared" si="97"/>
        <v/>
      </c>
      <c r="AU123" t="str">
        <f t="shared" si="98"/>
        <v/>
      </c>
      <c r="AV123" t="str">
        <f t="shared" si="126"/>
        <v/>
      </c>
      <c r="AW123" s="146"/>
      <c r="AX123" t="str">
        <f t="shared" si="99"/>
        <v/>
      </c>
      <c r="AY123" t="str">
        <f t="shared" si="100"/>
        <v/>
      </c>
      <c r="AZ123" t="str">
        <f t="shared" si="101"/>
        <v/>
      </c>
      <c r="BA123" t="str">
        <f t="shared" si="102"/>
        <v/>
      </c>
      <c r="BB123" t="str">
        <f t="shared" si="103"/>
        <v/>
      </c>
      <c r="BC123" t="str">
        <f t="shared" si="104"/>
        <v/>
      </c>
      <c r="BD123" t="str">
        <f t="shared" si="127"/>
        <v/>
      </c>
      <c r="BE123" s="146"/>
      <c r="BF123">
        <f t="shared" si="105"/>
        <v>5.082960460811076E-3</v>
      </c>
      <c r="BG123">
        <f t="shared" si="106"/>
        <v>1.0484264599430375E-2</v>
      </c>
      <c r="BH123">
        <f t="shared" si="107"/>
        <v>9.3578325441108945E-4</v>
      </c>
      <c r="BI123">
        <f t="shared" si="108"/>
        <v>2.7523036894443807E-3</v>
      </c>
      <c r="BJ123">
        <f t="shared" si="109"/>
        <v>4.5000000000000005E-3</v>
      </c>
      <c r="BK123">
        <f t="shared" si="110"/>
        <v>1.0906951210737734E-2</v>
      </c>
      <c r="BL123">
        <f t="shared" si="128"/>
        <v>-6.7139954025388759E-3</v>
      </c>
      <c r="BM123" s="146"/>
      <c r="BN123" t="str">
        <f t="shared" si="129"/>
        <v/>
      </c>
      <c r="BO123" t="str">
        <f t="shared" si="130"/>
        <v/>
      </c>
      <c r="BP123" t="str">
        <f t="shared" si="111"/>
        <v/>
      </c>
      <c r="BQ123" t="str">
        <f t="shared" si="112"/>
        <v/>
      </c>
      <c r="BR123" t="str">
        <f t="shared" si="113"/>
        <v/>
      </c>
      <c r="BS123" t="str">
        <f t="shared" si="114"/>
        <v/>
      </c>
      <c r="BT123" t="str">
        <f t="shared" si="115"/>
        <v/>
      </c>
      <c r="BU123" t="str">
        <f t="shared" si="131"/>
        <v/>
      </c>
      <c r="BV123" t="str">
        <f t="shared" si="132"/>
        <v/>
      </c>
      <c r="BW123">
        <f>'主翼(桁)'!BG120</f>
        <v>5.5810640498745012E-2</v>
      </c>
      <c r="BX123">
        <f t="shared" si="133"/>
        <v>2.7948267812295778E-2</v>
      </c>
      <c r="BY123">
        <f t="shared" si="134"/>
        <v>8.3758908311040797E-2</v>
      </c>
      <c r="CA123">
        <f t="shared" si="135"/>
        <v>129.30711102443087</v>
      </c>
      <c r="CB123">
        <f t="shared" si="136"/>
        <v>0.7514329417098653</v>
      </c>
      <c r="CC123">
        <f t="shared" si="137"/>
        <v>128.55567808272099</v>
      </c>
      <c r="CE123" s="49">
        <f>BY123*パラメーター!$D$5</f>
        <v>0.82058602472326669</v>
      </c>
    </row>
    <row r="124" spans="4:83">
      <c r="D124">
        <f>'主翼(型紙出力)'!B127</f>
        <v>76</v>
      </c>
      <c r="E124">
        <f>'主翼(型紙出力)'!AP127</f>
        <v>11.484801617357618</v>
      </c>
      <c r="F124">
        <f>'主翼(型紙出力)'!AQ127</f>
        <v>1.1197109781337615</v>
      </c>
      <c r="G124">
        <f>'主翼(型紙出力)'!E127</f>
        <v>0.15</v>
      </c>
      <c r="H124">
        <f>'主翼(型紙出力)'!D127/1000</f>
        <v>0.52667567567567364</v>
      </c>
      <c r="I124" t="str">
        <f>'主翼(型紙出力)'!H127</f>
        <v>half</v>
      </c>
      <c r="J124" t="str">
        <f>'主翼(型紙出力)'!G127</f>
        <v>3番</v>
      </c>
      <c r="K124">
        <f>'主翼(型紙出力)'!L127</f>
        <v>68.741779446263408</v>
      </c>
      <c r="L124">
        <f>'主翼(型紙出力)'!I127</f>
        <v>50.115499999999876</v>
      </c>
      <c r="M124">
        <f>'主翼(型紙出力)'!M127</f>
        <v>18.626279446263531</v>
      </c>
      <c r="N124" t="str">
        <f>主翼翼型1!$C$3</f>
        <v>QX0026 root.dat</v>
      </c>
      <c r="O124" cm="1">
        <f t="array" ref="O124">_xlfn.LET(
  _xlpm.y,$E124,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4" t="str">
        <f>主翼翼型2!$C$3</f>
        <v>QX0226.dat</v>
      </c>
      <c r="Q124" cm="1">
        <f t="array" ref="Q124">_xlfn.LET(
  _xlpm.y,$E124,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24" t="str">
        <f>主翼翼型3!$C$3</f>
        <v>QX0126.dat</v>
      </c>
      <c r="S124" cm="1">
        <f t="array" ref="S124">_xlfn.LET(
  _xlpm.y,$E124,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24" t="str">
        <f>主翼翼型4!$C$3</f>
        <v>QX0026 v32.dat</v>
      </c>
      <c r="U124" cm="1">
        <f t="array" ref="U124">_xlfn.LET(
  _xlpm.y,$E124,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4" t="str">
        <f>主翼翼型5!$C$3</f>
        <v>QX0026 v32.dat</v>
      </c>
      <c r="W124" cm="1">
        <f t="array" ref="W124">_xlfn.LET(
  _xlpm.y,$E124,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4" s="233">
        <f t="shared" si="116"/>
        <v>1.6595780894766241E-2</v>
      </c>
      <c r="Y124" s="233">
        <f t="shared" si="86"/>
        <v>7.8622578795167579E-4</v>
      </c>
      <c r="Z124" s="233">
        <f t="shared" si="117"/>
        <v>8.3999999999999995E-5</v>
      </c>
      <c r="AA124" s="233">
        <f t="shared" si="87"/>
        <v>2.506262461826146E-4</v>
      </c>
      <c r="AB124" s="233">
        <f t="shared" si="118"/>
        <v>2.0000000000000002E-5</v>
      </c>
      <c r="AC124" s="233">
        <f t="shared" si="119"/>
        <v>1.1617046626336369E-4</v>
      </c>
      <c r="AD124">
        <f t="shared" si="88"/>
        <v>1.1793386819275136E-4</v>
      </c>
      <c r="AE124">
        <f t="shared" si="89"/>
        <v>1.26E-5</v>
      </c>
      <c r="AF124">
        <f t="shared" si="120"/>
        <v>1.7543837232783022E-6</v>
      </c>
      <c r="AG124">
        <f t="shared" si="121"/>
        <v>3.0000000000000001E-6</v>
      </c>
      <c r="AH124" t="str">
        <f t="shared" si="122"/>
        <v/>
      </c>
      <c r="AI124" t="str">
        <f t="shared" si="90"/>
        <v/>
      </c>
      <c r="AJ124" t="str">
        <f t="shared" si="123"/>
        <v/>
      </c>
      <c r="AK124" t="str">
        <f t="shared" si="124"/>
        <v/>
      </c>
      <c r="AL124" t="str">
        <f t="shared" si="91"/>
        <v/>
      </c>
      <c r="AM124" t="str">
        <f t="shared" si="125"/>
        <v/>
      </c>
      <c r="AN124" t="str">
        <f t="shared" si="92"/>
        <v/>
      </c>
      <c r="AO124" s="146"/>
      <c r="AP124" t="str">
        <f t="shared" si="93"/>
        <v/>
      </c>
      <c r="AQ124" t="str">
        <f t="shared" si="94"/>
        <v/>
      </c>
      <c r="AR124" t="str">
        <f t="shared" si="95"/>
        <v/>
      </c>
      <c r="AS124" t="str">
        <f t="shared" si="96"/>
        <v/>
      </c>
      <c r="AT124" t="str">
        <f t="shared" si="97"/>
        <v/>
      </c>
      <c r="AU124" t="str">
        <f t="shared" si="98"/>
        <v/>
      </c>
      <c r="AV124" t="str">
        <f t="shared" si="126"/>
        <v/>
      </c>
      <c r="AW124" s="146"/>
      <c r="AX124" t="str">
        <f t="shared" si="99"/>
        <v/>
      </c>
      <c r="AY124" t="str">
        <f t="shared" si="100"/>
        <v/>
      </c>
      <c r="AZ124" t="str">
        <f t="shared" si="101"/>
        <v/>
      </c>
      <c r="BA124" t="str">
        <f t="shared" si="102"/>
        <v/>
      </c>
      <c r="BB124" t="str">
        <f t="shared" si="103"/>
        <v/>
      </c>
      <c r="BC124" t="str">
        <f t="shared" si="104"/>
        <v/>
      </c>
      <c r="BD124" t="str">
        <f t="shared" si="127"/>
        <v/>
      </c>
      <c r="BE124" s="146"/>
      <c r="BF124">
        <f t="shared" si="105"/>
        <v>3.1366025891108196E-3</v>
      </c>
      <c r="BG124">
        <f t="shared" si="106"/>
        <v>1.0024378796383866E-2</v>
      </c>
      <c r="BH124">
        <f t="shared" si="107"/>
        <v>8.9473569887193408E-4</v>
      </c>
      <c r="BI124">
        <f t="shared" si="108"/>
        <v>2.6315755849174532E-3</v>
      </c>
      <c r="BJ124">
        <f t="shared" si="109"/>
        <v>4.5000000000000005E-3</v>
      </c>
      <c r="BK124">
        <f t="shared" si="110"/>
        <v>1.0530472072680756E-2</v>
      </c>
      <c r="BL124">
        <f t="shared" si="128"/>
        <v>-6.7139954025388759E-3</v>
      </c>
      <c r="BM124" s="146"/>
      <c r="BN124" t="str">
        <f t="shared" si="129"/>
        <v/>
      </c>
      <c r="BO124" t="str">
        <f t="shared" si="130"/>
        <v/>
      </c>
      <c r="BP124" t="str">
        <f t="shared" si="111"/>
        <v/>
      </c>
      <c r="BQ124" t="str">
        <f t="shared" si="112"/>
        <v/>
      </c>
      <c r="BR124" t="str">
        <f t="shared" si="113"/>
        <v/>
      </c>
      <c r="BS124" t="str">
        <f t="shared" si="114"/>
        <v/>
      </c>
      <c r="BT124" t="str">
        <f t="shared" si="115"/>
        <v/>
      </c>
      <c r="BU124" t="str">
        <f t="shared" si="131"/>
        <v/>
      </c>
      <c r="BV124" t="str">
        <f t="shared" si="132"/>
        <v/>
      </c>
      <c r="BW124">
        <f>'主翼(桁)'!BG121</f>
        <v>5.4353328316074791E-2</v>
      </c>
      <c r="BX124">
        <f t="shared" si="133"/>
        <v>2.5003769339425955E-2</v>
      </c>
      <c r="BY124">
        <f t="shared" si="134"/>
        <v>7.9357097655500752E-2</v>
      </c>
      <c r="CA124">
        <f t="shared" si="135"/>
        <v>132.70847956920497</v>
      </c>
      <c r="CB124">
        <f t="shared" si="136"/>
        <v>0.80781137914480117</v>
      </c>
      <c r="CC124">
        <f t="shared" si="137"/>
        <v>131.90066819006017</v>
      </c>
      <c r="CE124" s="49">
        <f>BY124*パラメーター!$D$5</f>
        <v>0.77746148573094087</v>
      </c>
    </row>
    <row r="125" spans="4:83">
      <c r="D125">
        <f>'主翼(型紙出力)'!B128</f>
        <v>77</v>
      </c>
      <c r="E125">
        <f>'主翼(型紙出力)'!AP128</f>
        <v>11.631346987993533</v>
      </c>
      <c r="F125">
        <f>'主翼(型紙出力)'!AQ128</f>
        <v>1.1517180764899415</v>
      </c>
      <c r="G125">
        <f>'主翼(型紙出力)'!E128</f>
        <v>0.15</v>
      </c>
      <c r="H125">
        <f>'主翼(型紙出力)'!D128/1000</f>
        <v>0.50251351351351148</v>
      </c>
      <c r="I125" t="str">
        <f>'主翼(型紙出力)'!H128</f>
        <v>full</v>
      </c>
      <c r="J125" t="str">
        <f>'主翼(型紙出力)'!G128</f>
        <v>3番</v>
      </c>
      <c r="K125">
        <f>'主翼(型紙出力)'!L128</f>
        <v>65.588130817692559</v>
      </c>
      <c r="L125">
        <f>'主翼(型紙出力)'!I128</f>
        <v>48.840499999999871</v>
      </c>
      <c r="M125">
        <f>'主翼(型紙出力)'!M128</f>
        <v>16.747630817692688</v>
      </c>
      <c r="N125" t="str">
        <f>主翼翼型1!$C$3</f>
        <v>QX0026 root.dat</v>
      </c>
      <c r="O125" cm="1">
        <f t="array" ref="O125">_xlfn.LET(
  _xlpm.y,$E125,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5" t="str">
        <f>主翼翼型2!$C$3</f>
        <v>QX0226.dat</v>
      </c>
      <c r="Q125" cm="1">
        <f t="array" ref="Q125">_xlfn.LET(
  _xlpm.y,$E125,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25" t="str">
        <f>主翼翼型3!$C$3</f>
        <v>QX0126.dat</v>
      </c>
      <c r="S125" cm="1">
        <f t="array" ref="S125">_xlfn.LET(
  _xlpm.y,$E125,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25" t="str">
        <f>主翼翼型4!$C$3</f>
        <v>QX0026 v32.dat</v>
      </c>
      <c r="U125" cm="1">
        <f t="array" ref="U125">_xlfn.LET(
  _xlpm.y,$E125,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5" t="str">
        <f>主翼翼型5!$C$3</f>
        <v>QX0026 v32.dat</v>
      </c>
      <c r="W125" cm="1">
        <f t="array" ref="W125">_xlfn.LET(
  _xlpm.y,$E125,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5" s="233">
        <f t="shared" si="116"/>
        <v>2.2382205965424173E-2</v>
      </c>
      <c r="Y125" s="233">
        <f t="shared" si="86"/>
        <v>7.5015631320293047E-4</v>
      </c>
      <c r="Z125" s="233">
        <f t="shared" si="117"/>
        <v>8.3999999999999995E-5</v>
      </c>
      <c r="AA125" s="233">
        <f t="shared" si="87"/>
        <v>2.391283314657645E-4</v>
      </c>
      <c r="AB125" s="233">
        <f t="shared" si="118"/>
        <v>2.0000000000000002E-5</v>
      </c>
      <c r="AC125" s="233">
        <f t="shared" si="119"/>
        <v>1.5667544175796921E-4</v>
      </c>
      <c r="AD125">
        <f t="shared" si="88"/>
        <v>1.1252344698043957E-4</v>
      </c>
      <c r="AE125">
        <f t="shared" si="89"/>
        <v>1.26E-5</v>
      </c>
      <c r="AF125">
        <f t="shared" si="120"/>
        <v>1.6738983202603515E-6</v>
      </c>
      <c r="AG125">
        <f t="shared" si="121"/>
        <v>3.0000000000000001E-6</v>
      </c>
      <c r="AH125" t="str">
        <f t="shared" si="122"/>
        <v/>
      </c>
      <c r="AI125" t="str">
        <f t="shared" si="90"/>
        <v/>
      </c>
      <c r="AJ125" t="str">
        <f t="shared" si="123"/>
        <v/>
      </c>
      <c r="AK125" t="str">
        <f t="shared" si="124"/>
        <v/>
      </c>
      <c r="AL125" t="str">
        <f t="shared" si="91"/>
        <v/>
      </c>
      <c r="AM125" t="str">
        <f t="shared" si="125"/>
        <v/>
      </c>
      <c r="AN125" t="str">
        <f t="shared" si="92"/>
        <v/>
      </c>
      <c r="AO125" s="146"/>
      <c r="AP125" t="str">
        <f t="shared" si="93"/>
        <v/>
      </c>
      <c r="AQ125" t="str">
        <f t="shared" si="94"/>
        <v/>
      </c>
      <c r="AR125" t="str">
        <f t="shared" si="95"/>
        <v/>
      </c>
      <c r="AS125" t="str">
        <f t="shared" si="96"/>
        <v/>
      </c>
      <c r="AT125" t="str">
        <f t="shared" si="97"/>
        <v/>
      </c>
      <c r="AU125" t="str">
        <f t="shared" si="98"/>
        <v/>
      </c>
      <c r="AV125" t="str">
        <f t="shared" si="126"/>
        <v/>
      </c>
      <c r="AW125" s="146"/>
      <c r="AX125" t="str">
        <f t="shared" si="99"/>
        <v/>
      </c>
      <c r="AY125" t="str">
        <f t="shared" si="100"/>
        <v/>
      </c>
      <c r="AZ125" t="str">
        <f t="shared" si="101"/>
        <v/>
      </c>
      <c r="BA125" t="str">
        <f t="shared" si="102"/>
        <v/>
      </c>
      <c r="BB125" t="str">
        <f t="shared" si="103"/>
        <v/>
      </c>
      <c r="BC125" t="str">
        <f t="shared" si="104"/>
        <v/>
      </c>
      <c r="BD125" t="str">
        <f t="shared" si="127"/>
        <v/>
      </c>
      <c r="BE125" s="146"/>
      <c r="BF125">
        <f t="shared" si="105"/>
        <v>4.230236927465169E-3</v>
      </c>
      <c r="BG125">
        <f t="shared" si="106"/>
        <v>9.5644929933373628E-3</v>
      </c>
      <c r="BH125">
        <f t="shared" si="107"/>
        <v>8.5368814333277926E-4</v>
      </c>
      <c r="BI125">
        <f t="shared" si="108"/>
        <v>2.5108474803905273E-3</v>
      </c>
      <c r="BJ125">
        <f t="shared" si="109"/>
        <v>4.5000000000000005E-3</v>
      </c>
      <c r="BK125">
        <f t="shared" si="110"/>
        <v>1.016275008582904E-2</v>
      </c>
      <c r="BL125">
        <f t="shared" si="128"/>
        <v>-6.7139954025388759E-3</v>
      </c>
      <c r="BM125" s="146"/>
      <c r="BN125" t="str">
        <f t="shared" si="129"/>
        <v/>
      </c>
      <c r="BO125" t="str">
        <f t="shared" si="130"/>
        <v/>
      </c>
      <c r="BP125" t="str">
        <f t="shared" si="111"/>
        <v/>
      </c>
      <c r="BQ125" t="str">
        <f t="shared" si="112"/>
        <v/>
      </c>
      <c r="BR125" t="str">
        <f t="shared" si="113"/>
        <v/>
      </c>
      <c r="BS125" t="str">
        <f t="shared" si="114"/>
        <v/>
      </c>
      <c r="BT125" t="str">
        <f t="shared" si="115"/>
        <v/>
      </c>
      <c r="BU125" t="str">
        <f t="shared" si="131"/>
        <v/>
      </c>
      <c r="BV125" t="str">
        <f t="shared" si="132"/>
        <v/>
      </c>
      <c r="BW125">
        <f>'主翼(桁)'!BG122</f>
        <v>5.2896016133404632E-2</v>
      </c>
      <c r="BX125">
        <f t="shared" si="133"/>
        <v>2.5108020227815997E-2</v>
      </c>
      <c r="BY125">
        <f t="shared" si="134"/>
        <v>7.8004036361220636E-2</v>
      </c>
      <c r="CA125">
        <f t="shared" si="135"/>
        <v>136.1546034780965</v>
      </c>
      <c r="CB125">
        <f t="shared" si="136"/>
        <v>0.8663707229902684</v>
      </c>
      <c r="CC125">
        <f t="shared" si="137"/>
        <v>135.28823275510624</v>
      </c>
      <c r="CE125" s="49">
        <f>BY125*パラメーター!$D$5</f>
        <v>0.76420554423087861</v>
      </c>
    </row>
    <row r="126" spans="4:83">
      <c r="D126">
        <f>'主翼(型紙出力)'!B129</f>
        <v>78</v>
      </c>
      <c r="E126">
        <f>'主翼(型紙出力)'!AP129</f>
        <v>11.777878026299913</v>
      </c>
      <c r="F126">
        <f>'主翼(型紙出力)'!AQ129</f>
        <v>1.1837907254739974</v>
      </c>
      <c r="G126">
        <f>'主翼(型紙出力)'!E129</f>
        <v>0.15</v>
      </c>
      <c r="H126">
        <f>'主翼(型紙出力)'!D129/1000</f>
        <v>0.47835135135134932</v>
      </c>
      <c r="I126" t="str">
        <f>'主翼(型紙出力)'!H129</f>
        <v>half</v>
      </c>
      <c r="J126" t="str">
        <f>'主翼(型紙出力)'!G129</f>
        <v>3番</v>
      </c>
      <c r="K126">
        <f>'主翼(型紙出力)'!L129</f>
        <v>62.434482189121745</v>
      </c>
      <c r="L126">
        <f>'主翼(型紙出力)'!I129</f>
        <v>47.565499999999879</v>
      </c>
      <c r="M126">
        <f>'主翼(型紙出力)'!M129</f>
        <v>14.868982189121866</v>
      </c>
      <c r="N126" t="str">
        <f>主翼翼型1!$C$3</f>
        <v>QX0026 root.dat</v>
      </c>
      <c r="O126" cm="1">
        <f t="array" ref="O126">_xlfn.LET(
  _xlpm.y,$E126,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6" t="str">
        <f>主翼翼型2!$C$3</f>
        <v>QX0226.dat</v>
      </c>
      <c r="Q126" cm="1">
        <f t="array" ref="Q126">_xlfn.LET(
  _xlpm.y,$E126,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26" t="str">
        <f>主翼翼型3!$C$3</f>
        <v>QX0126.dat</v>
      </c>
      <c r="S126" cm="1">
        <f t="array" ref="S126">_xlfn.LET(
  _xlpm.y,$E126,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26" t="str">
        <f>主翼翼型4!$C$3</f>
        <v>QX0026 v32.dat</v>
      </c>
      <c r="U126" cm="1">
        <f t="array" ref="U126">_xlfn.LET(
  _xlpm.y,$E126,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6" t="str">
        <f>主翼翼型5!$C$3</f>
        <v>QX0026 v32.dat</v>
      </c>
      <c r="W126" cm="1">
        <f t="array" ref="W126">_xlfn.LET(
  _xlpm.y,$E126,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6" s="233">
        <f t="shared" si="116"/>
        <v>1.369005461286762E-2</v>
      </c>
      <c r="Y126" s="233">
        <f t="shared" si="86"/>
        <v>7.1408683845418505E-4</v>
      </c>
      <c r="Z126" s="233">
        <f t="shared" si="117"/>
        <v>8.3999999999999995E-5</v>
      </c>
      <c r="AA126" s="233">
        <f t="shared" si="87"/>
        <v>2.2763041674891434E-4</v>
      </c>
      <c r="AB126" s="233">
        <f t="shared" si="118"/>
        <v>2.0000000000000002E-5</v>
      </c>
      <c r="AC126" s="233">
        <f t="shared" si="119"/>
        <v>9.5830382290073345E-5</v>
      </c>
      <c r="AD126">
        <f t="shared" si="88"/>
        <v>1.0711302576812776E-4</v>
      </c>
      <c r="AE126">
        <f t="shared" si="89"/>
        <v>1.26E-5</v>
      </c>
      <c r="AF126">
        <f t="shared" si="120"/>
        <v>1.5934129172424003E-6</v>
      </c>
      <c r="AG126">
        <f t="shared" si="121"/>
        <v>3.0000000000000001E-6</v>
      </c>
      <c r="AH126" t="str">
        <f t="shared" si="122"/>
        <v/>
      </c>
      <c r="AI126" t="str">
        <f t="shared" si="90"/>
        <v/>
      </c>
      <c r="AJ126" t="str">
        <f t="shared" si="123"/>
        <v/>
      </c>
      <c r="AK126" t="str">
        <f t="shared" si="124"/>
        <v/>
      </c>
      <c r="AL126" t="str">
        <f t="shared" si="91"/>
        <v/>
      </c>
      <c r="AM126" t="str">
        <f t="shared" si="125"/>
        <v/>
      </c>
      <c r="AN126" t="str">
        <f t="shared" si="92"/>
        <v/>
      </c>
      <c r="AO126" s="146"/>
      <c r="AP126" t="str">
        <f t="shared" si="93"/>
        <v/>
      </c>
      <c r="AQ126" t="str">
        <f t="shared" si="94"/>
        <v/>
      </c>
      <c r="AR126" t="str">
        <f t="shared" si="95"/>
        <v/>
      </c>
      <c r="AS126" t="str">
        <f t="shared" si="96"/>
        <v/>
      </c>
      <c r="AT126" t="str">
        <f t="shared" si="97"/>
        <v/>
      </c>
      <c r="AU126" t="str">
        <f t="shared" si="98"/>
        <v/>
      </c>
      <c r="AV126" t="str">
        <f t="shared" si="126"/>
        <v/>
      </c>
      <c r="AW126" s="146"/>
      <c r="AX126" t="str">
        <f t="shared" si="99"/>
        <v/>
      </c>
      <c r="AY126" t="str">
        <f t="shared" si="100"/>
        <v/>
      </c>
      <c r="AZ126" t="str">
        <f t="shared" si="101"/>
        <v/>
      </c>
      <c r="BA126" t="str">
        <f t="shared" si="102"/>
        <v/>
      </c>
      <c r="BB126" t="str">
        <f t="shared" si="103"/>
        <v/>
      </c>
      <c r="BC126" t="str">
        <f t="shared" si="104"/>
        <v/>
      </c>
      <c r="BD126" t="str">
        <f t="shared" si="127"/>
        <v/>
      </c>
      <c r="BE126" s="146"/>
      <c r="BF126">
        <f t="shared" si="105"/>
        <v>2.5874203218319803E-3</v>
      </c>
      <c r="BG126">
        <f t="shared" si="106"/>
        <v>9.1046071902908601E-3</v>
      </c>
      <c r="BH126">
        <f t="shared" si="107"/>
        <v>8.1264058779362421E-4</v>
      </c>
      <c r="BI126">
        <f t="shared" si="108"/>
        <v>2.3901193758636007E-3</v>
      </c>
      <c r="BJ126">
        <f t="shared" si="109"/>
        <v>4.5000000000000005E-3</v>
      </c>
      <c r="BK126">
        <f t="shared" si="110"/>
        <v>9.8037852501825853E-3</v>
      </c>
      <c r="BL126">
        <f t="shared" si="128"/>
        <v>-6.7139954025388759E-3</v>
      </c>
      <c r="BM126" s="146"/>
      <c r="BN126" t="str">
        <f t="shared" si="129"/>
        <v/>
      </c>
      <c r="BO126" t="str">
        <f t="shared" si="130"/>
        <v/>
      </c>
      <c r="BP126" t="str">
        <f t="shared" si="111"/>
        <v/>
      </c>
      <c r="BQ126" t="str">
        <f t="shared" si="112"/>
        <v/>
      </c>
      <c r="BR126" t="str">
        <f t="shared" si="113"/>
        <v/>
      </c>
      <c r="BS126" t="str">
        <f t="shared" si="114"/>
        <v/>
      </c>
      <c r="BT126" t="str">
        <f t="shared" si="115"/>
        <v/>
      </c>
      <c r="BU126" t="str">
        <f t="shared" si="131"/>
        <v/>
      </c>
      <c r="BV126" t="str">
        <f t="shared" si="132"/>
        <v/>
      </c>
      <c r="BW126">
        <f>'主翼(桁)'!BG123</f>
        <v>5.1438703950734473E-2</v>
      </c>
      <c r="BX126">
        <f t="shared" si="133"/>
        <v>2.2484577323423773E-2</v>
      </c>
      <c r="BY126">
        <f t="shared" si="134"/>
        <v>7.3923281274158245E-2</v>
      </c>
      <c r="CA126">
        <f t="shared" si="135"/>
        <v>139.64551600617915</v>
      </c>
      <c r="CB126">
        <f t="shared" si="136"/>
        <v>0.92710520378083261</v>
      </c>
      <c r="CC126">
        <f t="shared" si="137"/>
        <v>138.71841080239832</v>
      </c>
      <c r="CE126" s="49">
        <f>BY126*パラメーター!$D$5</f>
        <v>0.72422638664292838</v>
      </c>
    </row>
    <row r="127" spans="4:83">
      <c r="D127">
        <f>'主翼(型紙出力)'!B130</f>
        <v>79</v>
      </c>
      <c r="E127">
        <f>'主翼(型紙出力)'!AP130</f>
        <v>11.924397005429137</v>
      </c>
      <c r="F127">
        <f>'主翼(型紙出力)'!AQ130</f>
        <v>1.2159184199902531</v>
      </c>
      <c r="G127">
        <f>'主翼(型紙出力)'!E130</f>
        <v>0.17499999999999999</v>
      </c>
      <c r="H127">
        <f>'主翼(型紙出力)'!D130/1000</f>
        <v>0.45418918918918694</v>
      </c>
      <c r="I127" t="str">
        <f>'主翼(型紙出力)'!H130</f>
        <v>full</v>
      </c>
      <c r="J127" t="str">
        <f>'主翼(型紙出力)'!G130</f>
        <v>3番</v>
      </c>
      <c r="K127">
        <f>'主翼(型紙出力)'!L130</f>
        <v>59.280833560550903</v>
      </c>
      <c r="L127">
        <f>'主翼(型紙出力)'!I130</f>
        <v>46.290499999999874</v>
      </c>
      <c r="M127">
        <f>'主翼(型紙出力)'!M130</f>
        <v>12.990333560551029</v>
      </c>
      <c r="N127" t="str">
        <f>主翼翼型1!$C$3</f>
        <v>QX0026 root.dat</v>
      </c>
      <c r="O127" cm="1">
        <f t="array" ref="O127">_xlfn.LET(
  _xlpm.y,$E127,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7" t="str">
        <f>主翼翼型2!$C$3</f>
        <v>QX0226.dat</v>
      </c>
      <c r="Q127" cm="1">
        <f t="array" ref="Q127">_xlfn.LET(
  _xlpm.y,$E127,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27" t="str">
        <f>主翼翼型3!$C$3</f>
        <v>QX0126.dat</v>
      </c>
      <c r="S127" cm="1">
        <f t="array" ref="S127">_xlfn.LET(
  _xlpm.y,$E127,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27" t="str">
        <f>主翼翼型4!$C$3</f>
        <v>QX0026 v32.dat</v>
      </c>
      <c r="U127" cm="1">
        <f t="array" ref="U127">_xlfn.LET(
  _xlpm.y,$E127,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7" t="str">
        <f>主翼翼型5!$C$3</f>
        <v>QX0026 v32.dat</v>
      </c>
      <c r="W127" cm="1">
        <f t="array" ref="W127">_xlfn.LET(
  _xlpm.y,$E127,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7" s="233">
        <f t="shared" si="116"/>
        <v>1.828441133834836E-2</v>
      </c>
      <c r="Y127" s="233">
        <f t="shared" si="86"/>
        <v>6.7801736370543941E-4</v>
      </c>
      <c r="Z127" s="233">
        <f t="shared" si="117"/>
        <v>8.3999999999999995E-5</v>
      </c>
      <c r="AA127" s="233">
        <f t="shared" si="87"/>
        <v>2.1613250203206412E-4</v>
      </c>
      <c r="AB127" s="233">
        <f t="shared" si="118"/>
        <v>2.0000000000000002E-5</v>
      </c>
      <c r="AC127" s="233">
        <f t="shared" si="119"/>
        <v>1.2799087936843853E-4</v>
      </c>
      <c r="AD127">
        <f t="shared" si="88"/>
        <v>1.1865303864845189E-4</v>
      </c>
      <c r="AE127">
        <f t="shared" si="89"/>
        <v>1.4699999999999998E-5</v>
      </c>
      <c r="AF127">
        <f t="shared" si="120"/>
        <v>1.5129275142244489E-6</v>
      </c>
      <c r="AG127">
        <f t="shared" si="121"/>
        <v>3.4999999999999999E-6</v>
      </c>
      <c r="AH127" t="str">
        <f t="shared" si="122"/>
        <v/>
      </c>
      <c r="AI127" t="str">
        <f t="shared" si="90"/>
        <v/>
      </c>
      <c r="AJ127" t="str">
        <f t="shared" si="123"/>
        <v/>
      </c>
      <c r="AK127" t="str">
        <f t="shared" si="124"/>
        <v/>
      </c>
      <c r="AL127" t="str">
        <f t="shared" si="91"/>
        <v/>
      </c>
      <c r="AM127" t="str">
        <f t="shared" si="125"/>
        <v/>
      </c>
      <c r="AN127" t="str">
        <f t="shared" si="92"/>
        <v/>
      </c>
      <c r="AO127" s="146"/>
      <c r="AP127" t="str">
        <f t="shared" si="93"/>
        <v/>
      </c>
      <c r="AQ127" t="str">
        <f t="shared" si="94"/>
        <v/>
      </c>
      <c r="AR127" t="str">
        <f t="shared" si="95"/>
        <v/>
      </c>
      <c r="AS127" t="str">
        <f t="shared" si="96"/>
        <v/>
      </c>
      <c r="AT127" t="str">
        <f t="shared" si="97"/>
        <v/>
      </c>
      <c r="AU127" t="str">
        <f t="shared" si="98"/>
        <v/>
      </c>
      <c r="AV127" t="str">
        <f t="shared" si="126"/>
        <v/>
      </c>
      <c r="AW127" s="146"/>
      <c r="AX127" t="str">
        <f t="shared" si="99"/>
        <v/>
      </c>
      <c r="AY127" t="str">
        <f t="shared" si="100"/>
        <v/>
      </c>
      <c r="AZ127" t="str">
        <f t="shared" si="101"/>
        <v/>
      </c>
      <c r="BA127" t="str">
        <f t="shared" si="102"/>
        <v/>
      </c>
      <c r="BB127" t="str">
        <f t="shared" si="103"/>
        <v/>
      </c>
      <c r="BC127" t="str">
        <f t="shared" si="104"/>
        <v/>
      </c>
      <c r="BD127" t="str">
        <f t="shared" si="127"/>
        <v/>
      </c>
      <c r="BE127" s="146"/>
      <c r="BF127">
        <f t="shared" si="105"/>
        <v>3.4557537429478402E-3</v>
      </c>
      <c r="BG127">
        <f t="shared" si="106"/>
        <v>1.008550828511841E-2</v>
      </c>
      <c r="BH127">
        <f t="shared" si="107"/>
        <v>7.7159303225446895E-4</v>
      </c>
      <c r="BI127">
        <f t="shared" si="108"/>
        <v>2.2693912713366736E-3</v>
      </c>
      <c r="BJ127">
        <f t="shared" si="109"/>
        <v>5.2500000000000003E-3</v>
      </c>
      <c r="BK127">
        <f t="shared" si="110"/>
        <v>1.0203577565741384E-2</v>
      </c>
      <c r="BL127">
        <f t="shared" si="128"/>
        <v>-6.7139954025388759E-3</v>
      </c>
      <c r="BM127" s="146"/>
      <c r="BN127" t="str">
        <f t="shared" si="129"/>
        <v/>
      </c>
      <c r="BO127" t="str">
        <f t="shared" si="130"/>
        <v/>
      </c>
      <c r="BP127" t="str">
        <f t="shared" si="111"/>
        <v/>
      </c>
      <c r="BQ127" t="str">
        <f t="shared" si="112"/>
        <v/>
      </c>
      <c r="BR127" t="str">
        <f t="shared" si="113"/>
        <v/>
      </c>
      <c r="BS127" t="str">
        <f t="shared" si="114"/>
        <v/>
      </c>
      <c r="BT127" t="str">
        <f t="shared" si="115"/>
        <v/>
      </c>
      <c r="BU127" t="str">
        <f t="shared" si="131"/>
        <v/>
      </c>
      <c r="BV127" t="str">
        <f t="shared" si="132"/>
        <v/>
      </c>
      <c r="BW127">
        <f>'主翼(桁)'!BG124</f>
        <v>5.8169940600537678E-2</v>
      </c>
      <c r="BX127">
        <f t="shared" si="133"/>
        <v>2.5321828494859901E-2</v>
      </c>
      <c r="BY127">
        <f t="shared" si="134"/>
        <v>8.3491769095397572E-2</v>
      </c>
      <c r="CA127">
        <f t="shared" si="135"/>
        <v>143.18125047384177</v>
      </c>
      <c r="CB127">
        <f t="shared" si="136"/>
        <v>0.99000653075440959</v>
      </c>
      <c r="CC127">
        <f t="shared" si="137"/>
        <v>142.19124394308736</v>
      </c>
      <c r="CE127" s="49">
        <f>BY127*パラメーター!$D$5</f>
        <v>0.81796886182761008</v>
      </c>
    </row>
    <row r="128" spans="4:83">
      <c r="D128">
        <f>'主翼(型紙出力)'!B131</f>
        <v>80</v>
      </c>
      <c r="E128">
        <f>'主翼(型紙出力)'!AP131</f>
        <v>12.095323826573441</v>
      </c>
      <c r="F128">
        <f>'主翼(型紙出力)'!AQ131</f>
        <v>1.2534553593101192</v>
      </c>
      <c r="G128">
        <f>'主翼(型紙出力)'!E131</f>
        <v>0.15</v>
      </c>
      <c r="H128">
        <f>'主翼(型紙出力)'!D131/1000</f>
        <v>0.42599999999999527</v>
      </c>
      <c r="I128" t="str">
        <f>'主翼(型紙出力)'!H131</f>
        <v>full</v>
      </c>
      <c r="J128" t="str">
        <f>'主翼(型紙出力)'!G131</f>
        <v>端リブ</v>
      </c>
      <c r="K128">
        <f>'主翼(型紙出力)'!L131</f>
        <v>55.60157682721826</v>
      </c>
      <c r="L128">
        <f>'主翼(型紙出力)'!I131</f>
        <v>44.802999999999862</v>
      </c>
      <c r="M128">
        <f>'主翼(型紙出力)'!M131</f>
        <v>10.798576827218398</v>
      </c>
      <c r="N128" t="str">
        <f>主翼翼型1!$C$3</f>
        <v>QX0026 root.dat</v>
      </c>
      <c r="O128" cm="1">
        <f t="array" ref="O128">_xlfn.LET(
  _xlpm.y,$E128,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8" t="str">
        <f>主翼翼型2!$C$3</f>
        <v>QX0226.dat</v>
      </c>
      <c r="Q128" cm="1">
        <f t="array" ref="Q128">_xlfn.LET(
  _xlpm.y,$E128,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28" t="str">
        <f>主翼翼型3!$C$3</f>
        <v>QX0126.dat</v>
      </c>
      <c r="S128" cm="1">
        <f t="array" ref="S128">_xlfn.LET(
  _xlpm.y,$E128,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28" t="str">
        <f>主翼翼型4!$C$3</f>
        <v>QX0026 v32.dat</v>
      </c>
      <c r="U128" cm="1">
        <f t="array" ref="U128">_xlfn.LET(
  _xlpm.y,$E128,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8" t="str">
        <f>主翼翼型5!$C$3</f>
        <v>QX0026 v32.dat</v>
      </c>
      <c r="W128" cm="1">
        <f t="array" ref="W128">_xlfn.LET(
  _xlpm.y,$E128,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8" s="233">
        <f t="shared" si="116"/>
        <v>1.6085204831059997E-2</v>
      </c>
      <c r="Y128" s="233">
        <f t="shared" si="86"/>
        <v>6.3593630983189953E-4</v>
      </c>
      <c r="Z128" s="233">
        <f t="shared" si="117"/>
        <v>8.3999999999999995E-5</v>
      </c>
      <c r="AA128" s="233">
        <f t="shared" si="87"/>
        <v>2.0271826819573779E-4</v>
      </c>
      <c r="AB128" s="233">
        <f t="shared" si="118"/>
        <v>2.0000000000000002E-5</v>
      </c>
      <c r="AC128" s="233">
        <f t="shared" si="119"/>
        <v>1.1259643381741998E-4</v>
      </c>
      <c r="AD128">
        <f t="shared" si="88"/>
        <v>9.5390446474784925E-5</v>
      </c>
      <c r="AE128">
        <f t="shared" si="89"/>
        <v>1.26E-5</v>
      </c>
      <c r="AF128">
        <f t="shared" si="120"/>
        <v>1.4190278773701645E-6</v>
      </c>
      <c r="AG128">
        <f t="shared" si="121"/>
        <v>3.0000000000000001E-6</v>
      </c>
      <c r="AH128" t="str">
        <f t="shared" si="122"/>
        <v/>
      </c>
      <c r="AI128" t="str">
        <f t="shared" si="90"/>
        <v/>
      </c>
      <c r="AJ128" t="str">
        <f t="shared" si="123"/>
        <v/>
      </c>
      <c r="AK128" t="str">
        <f t="shared" si="124"/>
        <v/>
      </c>
      <c r="AL128" t="str">
        <f t="shared" si="91"/>
        <v/>
      </c>
      <c r="AM128" t="str">
        <f t="shared" si="125"/>
        <v/>
      </c>
      <c r="AN128" t="str">
        <f t="shared" si="92"/>
        <v/>
      </c>
      <c r="AO128" s="146"/>
      <c r="AP128" t="str">
        <f t="shared" si="93"/>
        <v/>
      </c>
      <c r="AQ128" t="str">
        <f t="shared" si="94"/>
        <v/>
      </c>
      <c r="AR128" t="str">
        <f t="shared" si="95"/>
        <v/>
      </c>
      <c r="AS128" t="str">
        <f t="shared" si="96"/>
        <v/>
      </c>
      <c r="AT128" t="str">
        <f t="shared" si="97"/>
        <v/>
      </c>
      <c r="AU128" t="str">
        <f t="shared" si="98"/>
        <v/>
      </c>
      <c r="AV128" t="str">
        <f t="shared" si="126"/>
        <v/>
      </c>
      <c r="AW128" s="146"/>
      <c r="AX128" t="str">
        <f t="shared" si="99"/>
        <v/>
      </c>
      <c r="AY128" t="str">
        <f t="shared" si="100"/>
        <v/>
      </c>
      <c r="AZ128" t="str">
        <f t="shared" si="101"/>
        <v/>
      </c>
      <c r="BA128" t="str">
        <f t="shared" si="102"/>
        <v/>
      </c>
      <c r="BB128" t="str">
        <f t="shared" si="103"/>
        <v/>
      </c>
      <c r="BC128" t="str">
        <f t="shared" si="104"/>
        <v/>
      </c>
      <c r="BD128" t="str">
        <f t="shared" si="127"/>
        <v/>
      </c>
      <c r="BE128" s="146"/>
      <c r="BF128" t="str">
        <f t="shared" si="105"/>
        <v/>
      </c>
      <c r="BG128" t="str">
        <f t="shared" si="106"/>
        <v/>
      </c>
      <c r="BH128" t="str">
        <f t="shared" si="107"/>
        <v/>
      </c>
      <c r="BI128" t="str">
        <f t="shared" si="108"/>
        <v/>
      </c>
      <c r="BJ128" t="str">
        <f t="shared" si="109"/>
        <v/>
      </c>
      <c r="BK128" t="str">
        <f t="shared" si="110"/>
        <v/>
      </c>
      <c r="BL128" t="str">
        <f t="shared" si="128"/>
        <v/>
      </c>
      <c r="BM128" s="146"/>
      <c r="BN128" t="str">
        <f t="shared" si="129"/>
        <v/>
      </c>
      <c r="BO128" t="str">
        <f t="shared" si="130"/>
        <v/>
      </c>
      <c r="BP128">
        <f t="shared" si="111"/>
        <v>1.3029015913158597E-2</v>
      </c>
      <c r="BQ128">
        <f t="shared" si="112"/>
        <v>8.108187950356718E-3</v>
      </c>
      <c r="BR128">
        <f t="shared" si="113"/>
        <v>7.2370421745878387E-4</v>
      </c>
      <c r="BS128">
        <f t="shared" si="114"/>
        <v>2.1285418160552467E-3</v>
      </c>
      <c r="BT128">
        <f t="shared" si="115"/>
        <v>4.5000000000000005E-3</v>
      </c>
      <c r="BU128">
        <f t="shared" si="131"/>
        <v>9.0560699999999335E-3</v>
      </c>
      <c r="BV128" t="str">
        <f t="shared" si="132"/>
        <v/>
      </c>
      <c r="BW128">
        <f>'主翼(桁)'!BG125</f>
        <v>4.8281194221615663E-2</v>
      </c>
      <c r="BX128">
        <f t="shared" si="133"/>
        <v>3.7545519897029277E-2</v>
      </c>
      <c r="BY128">
        <f t="shared" si="134"/>
        <v>8.5826714118644939E-2</v>
      </c>
      <c r="CA128">
        <f t="shared" si="135"/>
        <v>147.36297183472362</v>
      </c>
      <c r="CB128">
        <f t="shared" si="136"/>
        <v>1.0661133650484322</v>
      </c>
      <c r="CC128">
        <f t="shared" si="137"/>
        <v>146.29685846967519</v>
      </c>
      <c r="CE128" s="49">
        <f>BY128*パラメーター!$D$5</f>
        <v>0.84084431822036454</v>
      </c>
    </row>
    <row r="129" spans="4:83">
      <c r="D129">
        <f>'主翼(型紙出力)'!B132</f>
        <v>81</v>
      </c>
      <c r="E129">
        <f>'主翼(型紙出力)'!AP132</f>
        <v>12.241824611562636</v>
      </c>
      <c r="F129">
        <f>'主翼(型紙出力)'!AQ132</f>
        <v>1.2856659165476085</v>
      </c>
      <c r="G129">
        <f>'主翼(型紙出力)'!E132</f>
        <v>0.15</v>
      </c>
      <c r="H129">
        <f>'主翼(型紙出力)'!D132/1000</f>
        <v>0.38657142857142412</v>
      </c>
      <c r="I129" t="str">
        <f>'主翼(型紙出力)'!H132</f>
        <v>full</v>
      </c>
      <c r="J129" t="str">
        <f>'主翼(型紙出力)'!G132</f>
        <v>ウィングレット</v>
      </c>
      <c r="K129">
        <f>'主翼(型紙出力)'!L132</f>
        <v>50.641811758123694</v>
      </c>
      <c r="L129">
        <f>'主翼(型紙出力)'!I132</f>
        <v>43.527999999999857</v>
      </c>
      <c r="M129">
        <f>'主翼(型紙出力)'!M132</f>
        <v>7.1138117581238376</v>
      </c>
      <c r="N129" t="str">
        <f>主翼翼型1!$C$3</f>
        <v>QX0026 root.dat</v>
      </c>
      <c r="O129" cm="1">
        <f t="array" ref="O129">_xlfn.LET(
  _xlpm.y,$E129,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9" t="str">
        <f>主翼翼型2!$C$3</f>
        <v>QX0226.dat</v>
      </c>
      <c r="Q129" cm="1">
        <f t="array" ref="Q129">_xlfn.LET(
  _xlpm.y,$E129,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29" t="str">
        <f>主翼翼型3!$C$3</f>
        <v>QX0126.dat</v>
      </c>
      <c r="S129" cm="1">
        <f t="array" ref="S129">_xlfn.LET(
  _xlpm.y,$E129,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29" t="str">
        <f>主翼翼型4!$C$3</f>
        <v>QX0026 v32.dat</v>
      </c>
      <c r="U129" cm="1">
        <f t="array" ref="U129">_xlfn.LET(
  _xlpm.y,$E129,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9" t="str">
        <f>主翼翼型5!$C$3</f>
        <v>QX0026 v32.dat</v>
      </c>
      <c r="W129" cm="1">
        <f t="array" ref="W129">_xlfn.LET(
  _xlpm.y,$E129,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9" s="233">
        <f t="shared" si="116"/>
        <v>1.3245455622436557E-2</v>
      </c>
      <c r="Y129" s="233">
        <f t="shared" si="86"/>
        <v>5.770770135496711E-4</v>
      </c>
      <c r="Z129" s="233">
        <f t="shared" si="117"/>
        <v>8.3999999999999995E-5</v>
      </c>
      <c r="AA129" s="233">
        <f t="shared" si="87"/>
        <v>1.8395561158204772E-4</v>
      </c>
      <c r="AB129" s="233">
        <f t="shared" si="118"/>
        <v>2.0000000000000002E-5</v>
      </c>
      <c r="AC129" s="233">
        <f t="shared" si="119"/>
        <v>9.2718189357055903E-5</v>
      </c>
      <c r="AD129">
        <f t="shared" si="88"/>
        <v>8.6561552032450662E-5</v>
      </c>
      <c r="AE129">
        <f t="shared" si="89"/>
        <v>1.26E-5</v>
      </c>
      <c r="AF129">
        <f t="shared" si="120"/>
        <v>1.2876892810743341E-6</v>
      </c>
      <c r="AG129">
        <f t="shared" si="121"/>
        <v>3.0000000000000001E-6</v>
      </c>
      <c r="AH129" t="str">
        <f t="shared" si="122"/>
        <v/>
      </c>
      <c r="AI129" t="str">
        <f t="shared" si="90"/>
        <v/>
      </c>
      <c r="AJ129" t="str">
        <f t="shared" si="123"/>
        <v/>
      </c>
      <c r="AK129" t="str">
        <f t="shared" si="124"/>
        <v/>
      </c>
      <c r="AL129" t="str">
        <f t="shared" si="91"/>
        <v/>
      </c>
      <c r="AM129" t="str">
        <f t="shared" si="125"/>
        <v/>
      </c>
      <c r="AN129" t="str">
        <f t="shared" si="92"/>
        <v/>
      </c>
      <c r="AO129" s="146"/>
      <c r="AP129" t="str">
        <f t="shared" si="93"/>
        <v/>
      </c>
      <c r="AQ129" t="str">
        <f t="shared" si="94"/>
        <v/>
      </c>
      <c r="AR129" t="str">
        <f t="shared" si="95"/>
        <v/>
      </c>
      <c r="AS129" t="str">
        <f t="shared" si="96"/>
        <v/>
      </c>
      <c r="AT129" t="str">
        <f t="shared" si="97"/>
        <v/>
      </c>
      <c r="AU129" t="str">
        <f t="shared" si="98"/>
        <v/>
      </c>
      <c r="AV129" t="str">
        <f t="shared" si="126"/>
        <v/>
      </c>
      <c r="AW129" s="146"/>
      <c r="AX129" t="str">
        <f t="shared" si="99"/>
        <v/>
      </c>
      <c r="AY129" t="str">
        <f t="shared" si="100"/>
        <v/>
      </c>
      <c r="BA129" t="str">
        <f t="shared" si="102"/>
        <v/>
      </c>
      <c r="BB129" t="str">
        <f t="shared" si="103"/>
        <v/>
      </c>
      <c r="BC129" t="str">
        <f t="shared" si="104"/>
        <v/>
      </c>
      <c r="BD129" t="str">
        <f t="shared" si="127"/>
        <v/>
      </c>
      <c r="BE129" s="146"/>
      <c r="BF129" t="str">
        <f t="shared" si="105"/>
        <v/>
      </c>
      <c r="BG129" t="str">
        <f t="shared" si="106"/>
        <v/>
      </c>
      <c r="BI129" t="str">
        <f t="shared" si="108"/>
        <v/>
      </c>
      <c r="BJ129" t="str">
        <f t="shared" si="109"/>
        <v/>
      </c>
      <c r="BK129" t="str">
        <f t="shared" si="110"/>
        <v/>
      </c>
      <c r="BL129" t="str">
        <f t="shared" si="128"/>
        <v/>
      </c>
      <c r="BM129" s="146"/>
      <c r="BN129" t="str">
        <f t="shared" si="129"/>
        <v/>
      </c>
      <c r="BO129" t="str">
        <f t="shared" si="130"/>
        <v/>
      </c>
      <c r="BP129" t="str">
        <f t="shared" si="111"/>
        <v/>
      </c>
      <c r="BQ129" t="str">
        <f t="shared" si="112"/>
        <v/>
      </c>
      <c r="BR129" t="str">
        <f t="shared" si="113"/>
        <v/>
      </c>
      <c r="BS129" t="str">
        <f t="shared" si="114"/>
        <v/>
      </c>
      <c r="BT129" t="str">
        <f t="shared" si="115"/>
        <v/>
      </c>
      <c r="BU129" t="str">
        <f t="shared" si="131"/>
        <v/>
      </c>
      <c r="BV129">
        <f>IF(J129="ウィングレット",($Y$19+$Y$22)/$R$21,"")</f>
        <v>2.8571428571428574E-2</v>
      </c>
      <c r="BW129">
        <f>'主翼(桁)'!BG126</f>
        <v>0</v>
      </c>
      <c r="BX129">
        <f t="shared" si="133"/>
        <v>2.8571428571428574E-2</v>
      </c>
      <c r="BY129">
        <f t="shared" si="134"/>
        <v>2.8571428571428574E-2</v>
      </c>
      <c r="CA129">
        <f t="shared" si="135"/>
        <v>150.99593728777728</v>
      </c>
      <c r="CB129">
        <f t="shared" si="136"/>
        <v>1.1336674675165994</v>
      </c>
      <c r="CC129">
        <f t="shared" si="137"/>
        <v>149.86226982026068</v>
      </c>
      <c r="CE129" s="49">
        <f>BY129*パラメーター!$D$5</f>
        <v>0.27991428571428578</v>
      </c>
    </row>
    <row r="130" spans="4:83">
      <c r="D130">
        <f>'主翼(型紙出力)'!B133</f>
        <v>82</v>
      </c>
      <c r="E130">
        <f>'主翼(型紙出力)'!AP133</f>
        <v>12.388320127850633</v>
      </c>
      <c r="F130">
        <f>'主翼(型紙出力)'!AQ133</f>
        <v>1.3179004276733166</v>
      </c>
      <c r="G130">
        <f>'主翼(型紙出力)'!E133</f>
        <v>0.15</v>
      </c>
      <c r="H130">
        <f>'主翼(型紙出力)'!D133/1000</f>
        <v>0.34714285714285259</v>
      </c>
      <c r="I130" t="str">
        <f>'主翼(型紙出力)'!H133</f>
        <v>full</v>
      </c>
      <c r="J130" t="str">
        <f>'主翼(型紙出力)'!G133</f>
        <v>ウィングレット</v>
      </c>
      <c r="K130">
        <f>'主翼(型紙出力)'!L133</f>
        <v>45.682046689029185</v>
      </c>
      <c r="L130">
        <f>'主翼(型紙出力)'!I133</f>
        <v>42.252999999999851</v>
      </c>
      <c r="M130">
        <f>'主翼(型紙出力)'!M133</f>
        <v>3.4290466890293345</v>
      </c>
      <c r="N130" t="str">
        <f>主翼翼型1!$C$3</f>
        <v>QX0026 root.dat</v>
      </c>
      <c r="O130" cm="1">
        <f t="array" ref="O130">_xlfn.LET(
  _xlpm.y,$E130,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30" t="str">
        <f>主翼翼型2!$C$3</f>
        <v>QX0226.dat</v>
      </c>
      <c r="Q130" cm="1">
        <f t="array" ref="Q130">_xlfn.LET(
  _xlpm.y,$E130,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0" t="str">
        <f>主翼翼型3!$C$3</f>
        <v>QX0126.dat</v>
      </c>
      <c r="S130" cm="1">
        <f t="array" ref="S130">_xlfn.LET(
  _xlpm.y,$E130,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30" t="str">
        <f>主翼翼型4!$C$3</f>
        <v>QX0026 v32.dat</v>
      </c>
      <c r="U130" cm="1">
        <f t="array" ref="U130">_xlfn.LET(
  _xlpm.y,$E130,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0" t="str">
        <f>主翼翼型5!$C$3</f>
        <v>QX0026 v32.dat</v>
      </c>
      <c r="W130" cm="1">
        <f t="array" ref="W130">_xlfn.LET(
  _xlpm.y,$E130,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0" s="233">
        <f t="shared" si="116"/>
        <v>1.0681293889755457E-2</v>
      </c>
      <c r="Y130" s="233">
        <f t="shared" si="86"/>
        <v>5.1821771726744223E-4</v>
      </c>
      <c r="Z130" s="233">
        <f t="shared" si="117"/>
        <v>8.3999999999999995E-5</v>
      </c>
      <c r="AA130" s="233">
        <f t="shared" si="87"/>
        <v>1.6519295496835742E-4</v>
      </c>
      <c r="AB130" s="233">
        <f t="shared" si="118"/>
        <v>2.0000000000000002E-5</v>
      </c>
      <c r="AC130" s="233">
        <f t="shared" si="119"/>
        <v>7.4769057228288191E-5</v>
      </c>
      <c r="AD130">
        <f t="shared" si="88"/>
        <v>7.7732657590116332E-5</v>
      </c>
      <c r="AE130">
        <f t="shared" si="89"/>
        <v>1.26E-5</v>
      </c>
      <c r="AF130">
        <f t="shared" si="120"/>
        <v>1.1563506847785019E-6</v>
      </c>
      <c r="AG130">
        <f t="shared" si="121"/>
        <v>3.0000000000000001E-6</v>
      </c>
      <c r="AH130" t="str">
        <f t="shared" si="122"/>
        <v/>
      </c>
      <c r="AI130" t="str">
        <f t="shared" si="90"/>
        <v/>
      </c>
      <c r="AJ130" t="str">
        <f t="shared" si="123"/>
        <v/>
      </c>
      <c r="AK130" t="str">
        <f t="shared" si="124"/>
        <v/>
      </c>
      <c r="AL130" t="str">
        <f t="shared" si="91"/>
        <v/>
      </c>
      <c r="AM130" t="str">
        <f t="shared" si="125"/>
        <v/>
      </c>
      <c r="AN130" t="str">
        <f t="shared" si="92"/>
        <v/>
      </c>
      <c r="AO130" s="146"/>
      <c r="AP130" t="str">
        <f t="shared" si="93"/>
        <v/>
      </c>
      <c r="AQ130" t="str">
        <f t="shared" si="94"/>
        <v/>
      </c>
      <c r="AR130" t="str">
        <f t="shared" si="95"/>
        <v/>
      </c>
      <c r="AS130" t="str">
        <f t="shared" si="96"/>
        <v/>
      </c>
      <c r="AT130" t="str">
        <f t="shared" si="97"/>
        <v/>
      </c>
      <c r="AU130" t="str">
        <f t="shared" si="98"/>
        <v/>
      </c>
      <c r="AV130" t="str">
        <f t="shared" si="126"/>
        <v/>
      </c>
      <c r="AW130" s="146"/>
      <c r="AX130" t="str">
        <f t="shared" si="99"/>
        <v/>
      </c>
      <c r="AY130" t="str">
        <f t="shared" si="100"/>
        <v/>
      </c>
      <c r="BA130" t="str">
        <f t="shared" si="102"/>
        <v/>
      </c>
      <c r="BB130" t="str">
        <f t="shared" si="103"/>
        <v/>
      </c>
      <c r="BC130" t="str">
        <f t="shared" si="104"/>
        <v/>
      </c>
      <c r="BD130" t="str">
        <f t="shared" si="127"/>
        <v/>
      </c>
      <c r="BE130" s="146"/>
      <c r="BF130" t="str">
        <f t="shared" si="105"/>
        <v/>
      </c>
      <c r="BG130" t="str">
        <f t="shared" si="106"/>
        <v/>
      </c>
      <c r="BI130" t="str">
        <f t="shared" si="108"/>
        <v/>
      </c>
      <c r="BJ130" t="str">
        <f t="shared" si="109"/>
        <v/>
      </c>
      <c r="BK130" t="str">
        <f t="shared" si="110"/>
        <v/>
      </c>
      <c r="BL130" t="str">
        <f t="shared" si="128"/>
        <v/>
      </c>
      <c r="BM130" s="146"/>
      <c r="BN130" t="str">
        <f t="shared" si="129"/>
        <v/>
      </c>
      <c r="BO130" t="str">
        <f t="shared" si="130"/>
        <v/>
      </c>
      <c r="BP130" t="str">
        <f t="shared" si="111"/>
        <v/>
      </c>
      <c r="BQ130" t="str">
        <f t="shared" si="112"/>
        <v/>
      </c>
      <c r="BR130" t="str">
        <f t="shared" si="113"/>
        <v/>
      </c>
      <c r="BS130" t="str">
        <f t="shared" si="114"/>
        <v/>
      </c>
      <c r="BT130" t="str">
        <f t="shared" si="115"/>
        <v/>
      </c>
      <c r="BU130" t="str">
        <f t="shared" si="131"/>
        <v/>
      </c>
      <c r="BV130">
        <f t="shared" si="132"/>
        <v>2.8571428571428574E-2</v>
      </c>
      <c r="BW130">
        <f>'主翼(桁)'!BG127</f>
        <v>0</v>
      </c>
      <c r="BX130">
        <f t="shared" si="133"/>
        <v>2.8571428571428574E-2</v>
      </c>
      <c r="BY130">
        <f t="shared" si="134"/>
        <v>2.8571428571428574E-2</v>
      </c>
      <c r="CA130">
        <f t="shared" si="135"/>
        <v>154.67382475303936</v>
      </c>
      <c r="CB130">
        <f t="shared" si="136"/>
        <v>1.2033491629302218</v>
      </c>
      <c r="CC130">
        <f t="shared" si="137"/>
        <v>153.47047559010915</v>
      </c>
      <c r="CE130" s="49">
        <f>BY130*パラメーター!$D$5</f>
        <v>0.27991428571428578</v>
      </c>
    </row>
    <row r="131" spans="4:83">
      <c r="D131">
        <f>'主翼(型紙出力)'!B134</f>
        <v>83</v>
      </c>
      <c r="E131">
        <f>'主翼(型紙出力)'!AP134</f>
        <v>12.534812104306793</v>
      </c>
      <c r="F131">
        <f>'主翼(型紙出力)'!AQ134</f>
        <v>1.3501510219929227</v>
      </c>
      <c r="G131">
        <f>'主翼(型紙出力)'!E134</f>
        <v>0.15</v>
      </c>
      <c r="H131">
        <f>'主翼(型紙出力)'!D134/1000</f>
        <v>0.30771428571428094</v>
      </c>
      <c r="I131" t="str">
        <f>'主翼(型紙出力)'!H134</f>
        <v>full</v>
      </c>
      <c r="J131" t="str">
        <f>'主翼(型紙出力)'!G134</f>
        <v>ウィングレット</v>
      </c>
      <c r="K131">
        <f>'主翼(型紙出力)'!L134</f>
        <v>39.156040019167904</v>
      </c>
      <c r="L131">
        <f>'主翼(型紙出力)'!I134</f>
        <v>40.977999999999859</v>
      </c>
      <c r="M131">
        <f>'主翼(型紙出力)'!M134</f>
        <v>-1.8219599808319558</v>
      </c>
      <c r="N131" t="str">
        <f>主翼翼型1!$C$3</f>
        <v>QX0026 root.dat</v>
      </c>
      <c r="O131" cm="1">
        <f t="array" ref="O131">_xlfn.LET(
  _xlpm.y,$E131,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31" t="str">
        <f>主翼翼型2!$C$3</f>
        <v>QX0226.dat</v>
      </c>
      <c r="Q131" cm="1">
        <f t="array" ref="Q131">_xlfn.LET(
  _xlpm.y,$E131,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1" t="str">
        <f>主翼翼型3!$C$3</f>
        <v>QX0126.dat</v>
      </c>
      <c r="S131" cm="1">
        <f t="array" ref="S131">_xlfn.LET(
  _xlpm.y,$E131,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31" t="str">
        <f>主翼翼型4!$C$3</f>
        <v>QX0026 v32.dat</v>
      </c>
      <c r="U131" cm="1">
        <f t="array" ref="U131">_xlfn.LET(
  _xlpm.y,$E131,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1" t="str">
        <f>主翼翼型5!$C$3</f>
        <v>QX0026 v32.dat</v>
      </c>
      <c r="W131" cm="1">
        <f t="array" ref="W131">_xlfn.LET(
  _xlpm.y,$E131,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1" s="233">
        <f t="shared" si="116"/>
        <v>8.3927196330167118E-3</v>
      </c>
      <c r="Y131" s="233">
        <f t="shared" si="86"/>
        <v>4.593584209852131E-4</v>
      </c>
      <c r="Z131" s="233">
        <f t="shared" si="117"/>
        <v>8.3999999999999995E-5</v>
      </c>
      <c r="AA131" s="233">
        <f t="shared" si="87"/>
        <v>1.4643029835466711E-4</v>
      </c>
      <c r="AB131" s="233">
        <f t="shared" si="118"/>
        <v>2.0000000000000002E-5</v>
      </c>
      <c r="AC131" s="233">
        <f t="shared" si="119"/>
        <v>5.8749037431116986E-5</v>
      </c>
      <c r="AD131">
        <f t="shared" si="88"/>
        <v>6.8903763147781962E-5</v>
      </c>
      <c r="AE131">
        <f t="shared" si="89"/>
        <v>1.26E-5</v>
      </c>
      <c r="AF131">
        <f t="shared" si="120"/>
        <v>1.0250120884826698E-6</v>
      </c>
      <c r="AG131">
        <f t="shared" si="121"/>
        <v>3.0000000000000001E-6</v>
      </c>
      <c r="AH131" t="str">
        <f t="shared" si="122"/>
        <v/>
      </c>
      <c r="AI131" t="str">
        <f t="shared" si="90"/>
        <v/>
      </c>
      <c r="AJ131" t="str">
        <f t="shared" si="123"/>
        <v/>
      </c>
      <c r="AK131" t="str">
        <f t="shared" si="124"/>
        <v/>
      </c>
      <c r="AL131" t="str">
        <f t="shared" si="91"/>
        <v/>
      </c>
      <c r="AM131" t="str">
        <f t="shared" si="125"/>
        <v/>
      </c>
      <c r="AN131" t="str">
        <f t="shared" si="92"/>
        <v/>
      </c>
      <c r="AO131" s="146"/>
      <c r="AP131" t="str">
        <f t="shared" si="93"/>
        <v/>
      </c>
      <c r="AQ131" t="str">
        <f t="shared" si="94"/>
        <v/>
      </c>
      <c r="AR131" t="str">
        <f t="shared" si="95"/>
        <v/>
      </c>
      <c r="AS131" t="str">
        <f t="shared" si="96"/>
        <v/>
      </c>
      <c r="AT131" t="str">
        <f t="shared" si="97"/>
        <v/>
      </c>
      <c r="AU131" t="str">
        <f t="shared" si="98"/>
        <v/>
      </c>
      <c r="AV131" t="str">
        <f t="shared" si="126"/>
        <v/>
      </c>
      <c r="AW131" s="146"/>
      <c r="AX131" t="str">
        <f t="shared" si="99"/>
        <v/>
      </c>
      <c r="AY131" t="str">
        <f t="shared" si="100"/>
        <v/>
      </c>
      <c r="BA131" t="str">
        <f t="shared" si="102"/>
        <v/>
      </c>
      <c r="BB131" t="str">
        <f t="shared" si="103"/>
        <v/>
      </c>
      <c r="BC131" t="str">
        <f t="shared" si="104"/>
        <v/>
      </c>
      <c r="BD131" t="str">
        <f t="shared" si="127"/>
        <v/>
      </c>
      <c r="BE131" s="146"/>
      <c r="BF131" t="str">
        <f t="shared" si="105"/>
        <v/>
      </c>
      <c r="BG131" t="str">
        <f t="shared" si="106"/>
        <v/>
      </c>
      <c r="BI131" t="str">
        <f t="shared" si="108"/>
        <v/>
      </c>
      <c r="BJ131" t="str">
        <f t="shared" si="109"/>
        <v/>
      </c>
      <c r="BK131" t="str">
        <f t="shared" si="110"/>
        <v/>
      </c>
      <c r="BL131" t="str">
        <f t="shared" si="128"/>
        <v/>
      </c>
      <c r="BM131" s="146"/>
      <c r="BN131" t="str">
        <f t="shared" si="129"/>
        <v/>
      </c>
      <c r="BO131" t="str">
        <f t="shared" si="130"/>
        <v/>
      </c>
      <c r="BP131" t="str">
        <f t="shared" si="111"/>
        <v/>
      </c>
      <c r="BQ131" t="str">
        <f t="shared" si="112"/>
        <v/>
      </c>
      <c r="BR131" t="str">
        <f t="shared" si="113"/>
        <v/>
      </c>
      <c r="BS131" t="str">
        <f t="shared" si="114"/>
        <v/>
      </c>
      <c r="BT131" t="str">
        <f t="shared" si="115"/>
        <v/>
      </c>
      <c r="BU131" t="str">
        <f t="shared" si="131"/>
        <v/>
      </c>
      <c r="BV131">
        <f t="shared" si="132"/>
        <v>2.8571428571428574E-2</v>
      </c>
      <c r="BW131">
        <f>'主翼(桁)'!BG128</f>
        <v>0</v>
      </c>
      <c r="BX131">
        <f t="shared" si="133"/>
        <v>2.8571428571428574E-2</v>
      </c>
      <c r="BY131">
        <f t="shared" si="134"/>
        <v>2.8571428571428574E-2</v>
      </c>
      <c r="CA131">
        <f t="shared" si="135"/>
        <v>158.39665979881156</v>
      </c>
      <c r="CB131">
        <f t="shared" si="136"/>
        <v>1.2751453085354509</v>
      </c>
      <c r="CC131">
        <f t="shared" si="137"/>
        <v>157.1215144902761</v>
      </c>
      <c r="CE131" s="49">
        <f>BY131*パラメーター!$D$5</f>
        <v>0.27991428571428578</v>
      </c>
    </row>
    <row r="132" spans="4:83">
      <c r="D132">
        <f>'主翼(型紙出力)'!B135</f>
        <v>84</v>
      </c>
      <c r="E132">
        <f>'主翼(型紙出力)'!AP135</f>
        <v>12.681301977873646</v>
      </c>
      <c r="F132">
        <f>'主翼(型紙出力)'!AQ135</f>
        <v>1.3824111667906014</v>
      </c>
      <c r="G132">
        <f>'主翼(型紙出力)'!E135</f>
        <v>0.15</v>
      </c>
      <c r="H132">
        <f>'主翼(型紙出力)'!D135/1000</f>
        <v>0.26828571428570935</v>
      </c>
      <c r="I132" t="str">
        <f>'主翼(型紙出力)'!H135</f>
        <v>full</v>
      </c>
      <c r="J132" t="str">
        <f>'主翼(型紙出力)'!G135</f>
        <v>ウィングレット</v>
      </c>
      <c r="K132">
        <f>'主翼(型紙出力)'!L135</f>
        <v>32.630033349306508</v>
      </c>
      <c r="L132">
        <f>'主翼(型紙出力)'!I135</f>
        <v>39.702999999999854</v>
      </c>
      <c r="M132">
        <f>'主翼(型紙出力)'!M135</f>
        <v>-7.0729666506933455</v>
      </c>
      <c r="N132" t="str">
        <f>主翼翼型1!$C$3</f>
        <v>QX0026 root.dat</v>
      </c>
      <c r="O132" cm="1">
        <f t="array" ref="O132">_xlfn.LET(
  _xlpm.y,$E132,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32" t="str">
        <f>主翼翼型2!$C$3</f>
        <v>QX0226.dat</v>
      </c>
      <c r="Q132" cm="1">
        <f t="array" ref="Q132">_xlfn.LET(
  _xlpm.y,$E132,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2" t="str">
        <f>主翼翼型3!$C$3</f>
        <v>QX0126.dat</v>
      </c>
      <c r="S132" cm="1">
        <f t="array" ref="S132">_xlfn.LET(
  _xlpm.y,$E132,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32" t="str">
        <f>主翼翼型4!$C$3</f>
        <v>QX0026 v32.dat</v>
      </c>
      <c r="U132" cm="1">
        <f t="array" ref="U132">_xlfn.LET(
  _xlpm.y,$E132,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2" t="str">
        <f>主翼翼型5!$C$3</f>
        <v>QX0026 v32.dat</v>
      </c>
      <c r="W132" cm="1">
        <f t="array" ref="W132">_xlfn.LET(
  _xlpm.y,$E132,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2" s="233">
        <f t="shared" si="116"/>
        <v>6.3797328522203402E-3</v>
      </c>
      <c r="Y132" s="233">
        <f t="shared" si="86"/>
        <v>4.0049912470298407E-4</v>
      </c>
      <c r="Z132" s="233">
        <f t="shared" si="117"/>
        <v>8.3999999999999995E-5</v>
      </c>
      <c r="AA132" s="233">
        <f t="shared" si="87"/>
        <v>1.276676417409768E-4</v>
      </c>
      <c r="AB132" s="233">
        <f t="shared" si="118"/>
        <v>2.0000000000000002E-5</v>
      </c>
      <c r="AC132" s="233">
        <f t="shared" si="119"/>
        <v>4.4658129965542382E-5</v>
      </c>
      <c r="AD132">
        <f t="shared" si="88"/>
        <v>6.0074868705447604E-5</v>
      </c>
      <c r="AE132">
        <f t="shared" si="89"/>
        <v>1.26E-5</v>
      </c>
      <c r="AF132">
        <f t="shared" si="120"/>
        <v>8.9367349218683768E-7</v>
      </c>
      <c r="AG132">
        <f t="shared" si="121"/>
        <v>3.0000000000000001E-6</v>
      </c>
      <c r="AH132" t="str">
        <f t="shared" si="122"/>
        <v/>
      </c>
      <c r="AI132" t="str">
        <f t="shared" si="90"/>
        <v/>
      </c>
      <c r="AJ132" t="str">
        <f t="shared" si="123"/>
        <v/>
      </c>
      <c r="AK132" t="str">
        <f t="shared" si="124"/>
        <v/>
      </c>
      <c r="AL132" t="str">
        <f t="shared" si="91"/>
        <v/>
      </c>
      <c r="AM132" t="str">
        <f t="shared" si="125"/>
        <v/>
      </c>
      <c r="AN132" t="str">
        <f t="shared" si="92"/>
        <v/>
      </c>
      <c r="AO132" s="146"/>
      <c r="AP132" t="str">
        <f t="shared" si="93"/>
        <v/>
      </c>
      <c r="AQ132" t="str">
        <f t="shared" si="94"/>
        <v/>
      </c>
      <c r="AR132" t="str">
        <f t="shared" si="95"/>
        <v/>
      </c>
      <c r="AS132" t="str">
        <f t="shared" si="96"/>
        <v/>
      </c>
      <c r="AT132" t="str">
        <f t="shared" si="97"/>
        <v/>
      </c>
      <c r="AU132" t="str">
        <f t="shared" si="98"/>
        <v/>
      </c>
      <c r="AV132" t="str">
        <f t="shared" si="126"/>
        <v/>
      </c>
      <c r="AW132" s="146"/>
      <c r="AX132" t="str">
        <f t="shared" si="99"/>
        <v/>
      </c>
      <c r="AY132" t="str">
        <f t="shared" si="100"/>
        <v/>
      </c>
      <c r="BA132" t="str">
        <f t="shared" si="102"/>
        <v/>
      </c>
      <c r="BB132" t="str">
        <f t="shared" si="103"/>
        <v/>
      </c>
      <c r="BC132" t="str">
        <f t="shared" si="104"/>
        <v/>
      </c>
      <c r="BD132" t="str">
        <f t="shared" si="127"/>
        <v/>
      </c>
      <c r="BE132" s="146"/>
      <c r="BF132" t="str">
        <f t="shared" si="105"/>
        <v/>
      </c>
      <c r="BG132" t="str">
        <f t="shared" si="106"/>
        <v/>
      </c>
      <c r="BI132" t="str">
        <f t="shared" si="108"/>
        <v/>
      </c>
      <c r="BJ132" t="str">
        <f t="shared" si="109"/>
        <v/>
      </c>
      <c r="BK132" t="str">
        <f t="shared" si="110"/>
        <v/>
      </c>
      <c r="BL132" t="str">
        <f t="shared" si="128"/>
        <v/>
      </c>
      <c r="BM132" s="146"/>
      <c r="BN132" t="str">
        <f t="shared" si="129"/>
        <v/>
      </c>
      <c r="BO132" t="str">
        <f t="shared" si="130"/>
        <v/>
      </c>
      <c r="BP132" t="str">
        <f t="shared" si="111"/>
        <v/>
      </c>
      <c r="BQ132" t="str">
        <f t="shared" si="112"/>
        <v/>
      </c>
      <c r="BR132" t="str">
        <f t="shared" si="113"/>
        <v/>
      </c>
      <c r="BS132" t="str">
        <f t="shared" si="114"/>
        <v/>
      </c>
      <c r="BT132" t="str">
        <f t="shared" si="115"/>
        <v/>
      </c>
      <c r="BU132" t="str">
        <f t="shared" si="131"/>
        <v/>
      </c>
      <c r="BV132">
        <f t="shared" si="132"/>
        <v>2.8571428571428574E-2</v>
      </c>
      <c r="BW132">
        <f>'主翼(桁)'!BG129</f>
        <v>0</v>
      </c>
      <c r="BX132">
        <f t="shared" si="133"/>
        <v>2.8571428571428574E-2</v>
      </c>
      <c r="BY132">
        <f t="shared" si="134"/>
        <v>2.8571428571428574E-2</v>
      </c>
      <c r="CA132">
        <f t="shared" si="135"/>
        <v>162.1644636951842</v>
      </c>
      <c r="CB132">
        <f t="shared" si="136"/>
        <v>1.3490438411621464</v>
      </c>
      <c r="CC132">
        <f t="shared" si="137"/>
        <v>160.81541985402205</v>
      </c>
      <c r="CE132" s="49">
        <f>BY132*パラメーター!$D$5</f>
        <v>0.27991428571428578</v>
      </c>
    </row>
    <row r="133" spans="4:83">
      <c r="D133">
        <f>'主翼(型紙出力)'!B136</f>
        <v>85</v>
      </c>
      <c r="E133">
        <f>'主翼(型紙出力)'!AP136</f>
        <v>12.825901454734401</v>
      </c>
      <c r="F133">
        <f>'主翼(型紙出力)'!AQ136</f>
        <v>1.4222983989783067</v>
      </c>
      <c r="G133">
        <f>'主翼(型紙出力)'!E136</f>
        <v>0.15</v>
      </c>
      <c r="H133">
        <f>'主翼(型紙出力)'!D136/1000</f>
        <v>0.22885714285713821</v>
      </c>
      <c r="I133" t="str">
        <f>'主翼(型紙出力)'!H136</f>
        <v>full</v>
      </c>
      <c r="J133" t="str">
        <f>'主翼(型紙出力)'!G136</f>
        <v>ウィングレット</v>
      </c>
      <c r="K133">
        <f>'主翼(型紙出力)'!L136</f>
        <v>26.104026679445177</v>
      </c>
      <c r="L133">
        <f>'主翼(型紙出力)'!I136</f>
        <v>38.427999999999848</v>
      </c>
      <c r="M133">
        <f>'主翼(型紙出力)'!M136</f>
        <v>-12.323973320554671</v>
      </c>
      <c r="N133" t="str">
        <f>主翼翼型1!$C$3</f>
        <v>QX0026 root.dat</v>
      </c>
      <c r="O133" cm="1">
        <f t="array" ref="O133">_xlfn.LET(
  _xlpm.y,$E133,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33" t="str">
        <f>主翼翼型2!$C$3</f>
        <v>QX0226.dat</v>
      </c>
      <c r="Q133" cm="1">
        <f t="array" ref="Q133">_xlfn.LET(
  _xlpm.y,$E133,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3" t="str">
        <f>主翼翼型3!$C$3</f>
        <v>QX0126.dat</v>
      </c>
      <c r="S133" cm="1">
        <f t="array" ref="S133">_xlfn.LET(
  _xlpm.y,$E133,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33" t="str">
        <f>主翼翼型4!$C$3</f>
        <v>QX0026 v32.dat</v>
      </c>
      <c r="U133" cm="1">
        <f t="array" ref="U133">_xlfn.LET(
  _xlpm.y,$E133,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3" t="str">
        <f>主翼翼型5!$C$3</f>
        <v>QX0026 v32.dat</v>
      </c>
      <c r="W133" cm="1">
        <f t="array" ref="W133">_xlfn.LET(
  _xlpm.y,$E133,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3" s="233">
        <f t="shared" si="116"/>
        <v>4.6423335473663513E-3</v>
      </c>
      <c r="Y133" s="233">
        <f t="shared" si="86"/>
        <v>3.4163982842075574E-4</v>
      </c>
      <c r="Z133" s="233">
        <f t="shared" si="117"/>
        <v>8.3999999999999995E-5</v>
      </c>
      <c r="AA133" s="233">
        <f t="shared" si="87"/>
        <v>1.0890498512728671E-4</v>
      </c>
      <c r="AB133" s="233">
        <f t="shared" si="118"/>
        <v>2.0000000000000002E-5</v>
      </c>
      <c r="AC133" s="233">
        <f t="shared" si="119"/>
        <v>3.2496334831564461E-5</v>
      </c>
      <c r="AD133">
        <f t="shared" si="88"/>
        <v>5.1245974263113362E-5</v>
      </c>
      <c r="AE133">
        <f t="shared" si="89"/>
        <v>1.26E-5</v>
      </c>
      <c r="AF133">
        <f t="shared" si="120"/>
        <v>7.6233489589100703E-7</v>
      </c>
      <c r="AG133">
        <f t="shared" si="121"/>
        <v>3.0000000000000001E-6</v>
      </c>
      <c r="AH133" t="str">
        <f t="shared" si="122"/>
        <v/>
      </c>
      <c r="AI133" t="str">
        <f t="shared" si="90"/>
        <v/>
      </c>
      <c r="AJ133" t="str">
        <f t="shared" si="123"/>
        <v/>
      </c>
      <c r="AK133" t="str">
        <f t="shared" si="124"/>
        <v/>
      </c>
      <c r="AL133" t="str">
        <f t="shared" si="91"/>
        <v/>
      </c>
      <c r="AM133" t="str">
        <f t="shared" si="125"/>
        <v/>
      </c>
      <c r="AN133" t="str">
        <f t="shared" si="92"/>
        <v/>
      </c>
      <c r="AO133" s="146"/>
      <c r="AP133" t="str">
        <f t="shared" si="93"/>
        <v/>
      </c>
      <c r="AQ133" t="str">
        <f t="shared" si="94"/>
        <v/>
      </c>
      <c r="AR133" t="str">
        <f t="shared" si="95"/>
        <v/>
      </c>
      <c r="AS133" t="str">
        <f t="shared" si="96"/>
        <v/>
      </c>
      <c r="AT133" t="str">
        <f t="shared" si="97"/>
        <v/>
      </c>
      <c r="AU133" t="str">
        <f t="shared" si="98"/>
        <v/>
      </c>
      <c r="AV133" t="str">
        <f t="shared" si="126"/>
        <v/>
      </c>
      <c r="AW133" s="146"/>
      <c r="AX133" t="str">
        <f t="shared" si="99"/>
        <v/>
      </c>
      <c r="AY133" t="str">
        <f t="shared" si="100"/>
        <v/>
      </c>
      <c r="BA133" t="str">
        <f t="shared" si="102"/>
        <v/>
      </c>
      <c r="BB133" t="str">
        <f t="shared" si="103"/>
        <v/>
      </c>
      <c r="BC133" t="str">
        <f t="shared" si="104"/>
        <v/>
      </c>
      <c r="BD133" t="str">
        <f t="shared" si="127"/>
        <v/>
      </c>
      <c r="BE133" s="146"/>
      <c r="BF133" t="str">
        <f t="shared" si="105"/>
        <v/>
      </c>
      <c r="BG133" t="str">
        <f t="shared" si="106"/>
        <v/>
      </c>
      <c r="BI133" t="str">
        <f t="shared" si="108"/>
        <v/>
      </c>
      <c r="BJ133" t="str">
        <f t="shared" si="109"/>
        <v/>
      </c>
      <c r="BK133" t="str">
        <f t="shared" si="110"/>
        <v/>
      </c>
      <c r="BL133" t="str">
        <f t="shared" si="128"/>
        <v/>
      </c>
      <c r="BM133" s="146"/>
      <c r="BN133" t="str">
        <f t="shared" si="129"/>
        <v/>
      </c>
      <c r="BO133" t="str">
        <f t="shared" si="130"/>
        <v/>
      </c>
      <c r="BP133" t="str">
        <f t="shared" si="111"/>
        <v/>
      </c>
      <c r="BQ133" t="str">
        <f t="shared" si="112"/>
        <v/>
      </c>
      <c r="BR133" t="str">
        <f t="shared" si="113"/>
        <v/>
      </c>
      <c r="BS133" t="str">
        <f t="shared" si="114"/>
        <v/>
      </c>
      <c r="BT133" t="str">
        <f t="shared" si="115"/>
        <v/>
      </c>
      <c r="BU133" t="str">
        <f t="shared" si="131"/>
        <v/>
      </c>
      <c r="BV133">
        <f t="shared" si="132"/>
        <v>2.8571428571428574E-2</v>
      </c>
      <c r="BW133">
        <f>'主翼(桁)'!BG130</f>
        <v>0</v>
      </c>
      <c r="BX133">
        <f t="shared" si="133"/>
        <v>2.8571428571428574E-2</v>
      </c>
      <c r="BY133">
        <f t="shared" si="134"/>
        <v>2.8571428571428574E-2</v>
      </c>
      <c r="CA133">
        <f t="shared" si="135"/>
        <v>165.9470396803712</v>
      </c>
      <c r="CB133">
        <f t="shared" si="136"/>
        <v>1.443291553813179</v>
      </c>
      <c r="CC133">
        <f t="shared" si="137"/>
        <v>164.50374812655804</v>
      </c>
      <c r="CE133" s="49">
        <f>BY133*パラメーター!$D$5</f>
        <v>0.27991428571428578</v>
      </c>
    </row>
    <row r="134" spans="4:83">
      <c r="D134">
        <f>'主翼(型紙出力)'!B137</f>
        <v>86</v>
      </c>
      <c r="E134">
        <f>'主翼(型紙出力)'!AP137</f>
        <v>12.968214667541966</v>
      </c>
      <c r="F134">
        <f>'主翼(型紙出力)'!AQ137</f>
        <v>1.4697003974634852</v>
      </c>
      <c r="G134">
        <f>'主翼(型紙出力)'!E137</f>
        <v>0.15</v>
      </c>
      <c r="H134">
        <f>'主翼(型紙出力)'!D137/1000</f>
        <v>0.18942857142856662</v>
      </c>
      <c r="I134" t="str">
        <f>'主翼(型紙出力)'!H137</f>
        <v>full</v>
      </c>
      <c r="J134" t="str">
        <f>'主翼(型紙出力)'!G137</f>
        <v>ウィングレット</v>
      </c>
      <c r="K134">
        <f>'主翼(型紙出力)'!L137</f>
        <v>22.841023344514532</v>
      </c>
      <c r="L134">
        <f>'主翼(型紙出力)'!I137</f>
        <v>37.152999999999842</v>
      </c>
      <c r="M134">
        <f>'主翼(型紙出力)'!M137</f>
        <v>-14.31197665548531</v>
      </c>
      <c r="N134" t="str">
        <f>主翼翼型1!$C$3</f>
        <v>QX0026 root.dat</v>
      </c>
      <c r="O134" cm="1">
        <f t="array" ref="O134">_xlfn.LET(
  _xlpm.y,$E134,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34" t="str">
        <f>主翼翼型2!$C$3</f>
        <v>QX0226.dat</v>
      </c>
      <c r="Q134" cm="1">
        <f t="array" ref="Q134">_xlfn.LET(
  _xlpm.y,$E134,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4" t="str">
        <f>主翼翼型3!$C$3</f>
        <v>QX0126.dat</v>
      </c>
      <c r="S134" cm="1">
        <f t="array" ref="S134">_xlfn.LET(
  _xlpm.y,$E134,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34" t="str">
        <f>主翼翼型4!$C$3</f>
        <v>QX0026 v32.dat</v>
      </c>
      <c r="U134" cm="1">
        <f t="array" ref="U134">_xlfn.LET(
  _xlpm.y,$E134,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4" t="str">
        <f>主翼翼型5!$C$3</f>
        <v>QX0026 v32.dat</v>
      </c>
      <c r="W134" cm="1">
        <f t="array" ref="W134">_xlfn.LET(
  _xlpm.y,$E134,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4" s="233">
        <f t="shared" si="116"/>
        <v>3.1805217184547071E-3</v>
      </c>
      <c r="Y134" s="233">
        <f t="shared" si="86"/>
        <v>2.8278053213852671E-4</v>
      </c>
      <c r="Z134" s="233">
        <f t="shared" si="117"/>
        <v>8.3999999999999995E-5</v>
      </c>
      <c r="AA134" s="233">
        <f t="shared" si="87"/>
        <v>9.0142328513596404E-5</v>
      </c>
      <c r="AB134" s="233">
        <f t="shared" si="118"/>
        <v>2.0000000000000002E-5</v>
      </c>
      <c r="AC134" s="233">
        <f t="shared" si="119"/>
        <v>2.2263652029182952E-5</v>
      </c>
      <c r="AD134">
        <f t="shared" si="88"/>
        <v>4.2417079820779005E-5</v>
      </c>
      <c r="AE134">
        <f t="shared" si="89"/>
        <v>1.26E-5</v>
      </c>
      <c r="AF134">
        <f t="shared" si="120"/>
        <v>6.3099629959517489E-7</v>
      </c>
      <c r="AG134">
        <f t="shared" si="121"/>
        <v>3.0000000000000001E-6</v>
      </c>
      <c r="AH134" t="str">
        <f t="shared" si="122"/>
        <v/>
      </c>
      <c r="AI134" t="str">
        <f t="shared" si="90"/>
        <v/>
      </c>
      <c r="AJ134" t="str">
        <f t="shared" si="123"/>
        <v/>
      </c>
      <c r="AK134" t="str">
        <f t="shared" si="124"/>
        <v/>
      </c>
      <c r="AL134" t="str">
        <f t="shared" si="91"/>
        <v/>
      </c>
      <c r="AM134" t="str">
        <f t="shared" si="125"/>
        <v/>
      </c>
      <c r="AN134" t="str">
        <f t="shared" si="92"/>
        <v/>
      </c>
      <c r="AO134" s="146"/>
      <c r="AP134" t="str">
        <f t="shared" si="93"/>
        <v/>
      </c>
      <c r="AQ134" t="str">
        <f t="shared" si="94"/>
        <v/>
      </c>
      <c r="AR134" t="str">
        <f t="shared" si="95"/>
        <v/>
      </c>
      <c r="AS134" t="str">
        <f t="shared" si="96"/>
        <v/>
      </c>
      <c r="AT134" t="str">
        <f t="shared" si="97"/>
        <v/>
      </c>
      <c r="AU134" t="str">
        <f t="shared" si="98"/>
        <v/>
      </c>
      <c r="AV134" t="str">
        <f t="shared" si="126"/>
        <v/>
      </c>
      <c r="AW134" s="146"/>
      <c r="AX134" t="str">
        <f t="shared" si="99"/>
        <v/>
      </c>
      <c r="AY134" t="str">
        <f t="shared" si="100"/>
        <v/>
      </c>
      <c r="BA134" t="str">
        <f t="shared" si="102"/>
        <v/>
      </c>
      <c r="BB134" t="str">
        <f t="shared" si="103"/>
        <v/>
      </c>
      <c r="BC134" t="str">
        <f t="shared" si="104"/>
        <v/>
      </c>
      <c r="BD134" t="str">
        <f t="shared" si="127"/>
        <v/>
      </c>
      <c r="BE134" s="146"/>
      <c r="BF134" t="str">
        <f t="shared" si="105"/>
        <v/>
      </c>
      <c r="BG134" t="str">
        <f t="shared" si="106"/>
        <v/>
      </c>
      <c r="BI134" t="str">
        <f t="shared" si="108"/>
        <v/>
      </c>
      <c r="BJ134" t="str">
        <f t="shared" si="109"/>
        <v/>
      </c>
      <c r="BK134" t="str">
        <f t="shared" si="110"/>
        <v/>
      </c>
      <c r="BL134" t="str">
        <f t="shared" si="128"/>
        <v/>
      </c>
      <c r="BM134" s="146"/>
      <c r="BN134" t="str">
        <f t="shared" si="129"/>
        <v/>
      </c>
      <c r="BO134" t="str">
        <f t="shared" si="130"/>
        <v/>
      </c>
      <c r="BP134" t="str">
        <f t="shared" si="111"/>
        <v/>
      </c>
      <c r="BQ134" t="str">
        <f t="shared" si="112"/>
        <v/>
      </c>
      <c r="BR134" t="str">
        <f t="shared" si="113"/>
        <v/>
      </c>
      <c r="BS134" t="str">
        <f t="shared" si="114"/>
        <v/>
      </c>
      <c r="BT134" t="str">
        <f t="shared" si="115"/>
        <v/>
      </c>
      <c r="BU134" t="str">
        <f t="shared" si="131"/>
        <v/>
      </c>
      <c r="BV134">
        <f t="shared" si="132"/>
        <v>2.8571428571428574E-2</v>
      </c>
      <c r="BW134">
        <f>'主翼(桁)'!BG131</f>
        <v>0</v>
      </c>
      <c r="BX134">
        <f t="shared" si="133"/>
        <v>2.8571428571428574E-2</v>
      </c>
      <c r="BY134">
        <f t="shared" si="134"/>
        <v>2.8571428571428574E-2</v>
      </c>
      <c r="CA134">
        <f t="shared" si="135"/>
        <v>169.73402491072974</v>
      </c>
      <c r="CB134">
        <f t="shared" si="136"/>
        <v>1.5594332472791512</v>
      </c>
      <c r="CC134">
        <f t="shared" si="137"/>
        <v>168.1745916634506</v>
      </c>
      <c r="CE134" s="49">
        <f>BY134*パラメーター!$D$5</f>
        <v>0.27991428571428578</v>
      </c>
    </row>
    <row r="135" spans="4:83">
      <c r="D135">
        <f>'主翼(型紙出力)'!B138</f>
        <v>87</v>
      </c>
      <c r="E135">
        <f>'主翼(型紙出力)'!AP138</f>
        <v>12.924211937301775</v>
      </c>
      <c r="F135">
        <f>'主翼(型紙出力)'!AQ138</f>
        <v>1.7254151179391428</v>
      </c>
      <c r="G135">
        <f>'主翼(型紙出力)'!E138</f>
        <v>0</v>
      </c>
      <c r="H135">
        <f>'主翼(型紙出力)'!D138/1000</f>
        <v>0.14999999999999503</v>
      </c>
      <c r="I135" t="str">
        <f>'主翼(型紙出力)'!H138</f>
        <v>full</v>
      </c>
      <c r="J135" t="str">
        <f>'主翼(型紙出力)'!G138</f>
        <v>ウィングレット</v>
      </c>
      <c r="K135">
        <f>'主翼(型紙出力)'!L138</f>
        <v>19.578020009583895</v>
      </c>
      <c r="L135">
        <f>'主翼(型紙出力)'!I138</f>
        <v>35.877999999999837</v>
      </c>
      <c r="M135">
        <f>'主翼(型紙出力)'!M138</f>
        <v>-16.299979990415942</v>
      </c>
      <c r="N135" t="str">
        <f>主翼翼型1!$C$3</f>
        <v>QX0026 root.dat</v>
      </c>
      <c r="O135" cm="1">
        <f t="array" ref="O135">_xlfn.LET(
  _xlpm.y,$E135,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35" t="str">
        <f>主翼翼型2!$C$3</f>
        <v>QX0226.dat</v>
      </c>
      <c r="Q135" cm="1">
        <f t="array" ref="Q135">_xlfn.LET(
  _xlpm.y,$E135,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5" t="str">
        <f>主翼翼型3!$C$3</f>
        <v>QX0126.dat</v>
      </c>
      <c r="S135" cm="1">
        <f t="array" ref="S135">_xlfn.LET(
  _xlpm.y,$E135,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35" t="str">
        <f>主翼翼型4!$C$3</f>
        <v>QX0026 v32.dat</v>
      </c>
      <c r="U135" cm="1">
        <f t="array" ref="U135">_xlfn.LET(
  _xlpm.y,$E135,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5" t="str">
        <f>主翼翼型5!$C$3</f>
        <v>QX0026 v32.dat</v>
      </c>
      <c r="W135" cm="1">
        <f t="array" ref="W135">_xlfn.LET(
  _xlpm.y,$E135,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5" s="233">
        <f t="shared" si="116"/>
        <v>1.9942973654854305E-3</v>
      </c>
      <c r="Y135" s="233">
        <f t="shared" si="86"/>
        <v>2.2392123585629768E-4</v>
      </c>
      <c r="Z135" s="233">
        <f t="shared" si="117"/>
        <v>8.3999999999999995E-5</v>
      </c>
      <c r="AA135" s="233">
        <f t="shared" si="87"/>
        <v>7.1379671899906097E-5</v>
      </c>
      <c r="AB135" s="233">
        <f t="shared" si="118"/>
        <v>2.0000000000000002E-5</v>
      </c>
      <c r="AC135" s="233">
        <f t="shared" si="119"/>
        <v>1.3960081558398014E-5</v>
      </c>
      <c r="AD135">
        <f t="shared" si="88"/>
        <v>0</v>
      </c>
      <c r="AE135">
        <f t="shared" si="89"/>
        <v>0</v>
      </c>
      <c r="AF135">
        <f t="shared" si="120"/>
        <v>4.9965770329934266E-7</v>
      </c>
      <c r="AG135">
        <f t="shared" si="121"/>
        <v>0</v>
      </c>
      <c r="AH135" t="str">
        <f t="shared" si="122"/>
        <v/>
      </c>
      <c r="AI135" t="str">
        <f t="shared" si="90"/>
        <v/>
      </c>
      <c r="AJ135" t="str">
        <f t="shared" si="123"/>
        <v/>
      </c>
      <c r="AK135" t="str">
        <f t="shared" si="124"/>
        <v/>
      </c>
      <c r="AL135" t="str">
        <f t="shared" si="91"/>
        <v/>
      </c>
      <c r="AM135" t="str">
        <f t="shared" si="125"/>
        <v/>
      </c>
      <c r="AN135" t="str">
        <f t="shared" si="92"/>
        <v/>
      </c>
      <c r="AO135" s="146"/>
      <c r="AP135" t="str">
        <f t="shared" si="93"/>
        <v/>
      </c>
      <c r="AQ135" t="str">
        <f t="shared" si="94"/>
        <v/>
      </c>
      <c r="AR135" t="str">
        <f t="shared" si="95"/>
        <v/>
      </c>
      <c r="AS135" t="str">
        <f t="shared" si="96"/>
        <v/>
      </c>
      <c r="AT135" t="str">
        <f t="shared" si="97"/>
        <v/>
      </c>
      <c r="AU135" t="str">
        <f t="shared" si="98"/>
        <v/>
      </c>
      <c r="AV135" t="str">
        <f t="shared" si="126"/>
        <v/>
      </c>
      <c r="AW135" s="146"/>
      <c r="AX135" t="str">
        <f t="shared" si="99"/>
        <v/>
      </c>
      <c r="AY135" t="str">
        <f t="shared" si="100"/>
        <v/>
      </c>
      <c r="BA135" t="str">
        <f t="shared" si="102"/>
        <v/>
      </c>
      <c r="BB135" t="str">
        <f t="shared" si="103"/>
        <v/>
      </c>
      <c r="BC135" t="str">
        <f t="shared" si="104"/>
        <v/>
      </c>
      <c r="BD135" t="str">
        <f t="shared" si="127"/>
        <v/>
      </c>
      <c r="BE135" s="146"/>
      <c r="BF135" t="str">
        <f t="shared" si="105"/>
        <v/>
      </c>
      <c r="BG135" t="str">
        <f t="shared" si="106"/>
        <v/>
      </c>
      <c r="BI135" t="str">
        <f t="shared" si="108"/>
        <v/>
      </c>
      <c r="BJ135" t="str">
        <f t="shared" si="109"/>
        <v/>
      </c>
      <c r="BK135" t="str">
        <f t="shared" si="110"/>
        <v/>
      </c>
      <c r="BL135" t="str">
        <f t="shared" si="128"/>
        <v/>
      </c>
      <c r="BM135" s="146"/>
      <c r="BN135" t="str">
        <f t="shared" si="129"/>
        <v/>
      </c>
      <c r="BO135" t="str">
        <f t="shared" si="130"/>
        <v/>
      </c>
      <c r="BP135" t="str">
        <f t="shared" si="111"/>
        <v/>
      </c>
      <c r="BQ135" t="str">
        <f t="shared" si="112"/>
        <v/>
      </c>
      <c r="BR135" t="str">
        <f t="shared" si="113"/>
        <v/>
      </c>
      <c r="BS135" t="str">
        <f t="shared" si="114"/>
        <v/>
      </c>
      <c r="BT135" t="str">
        <f t="shared" si="115"/>
        <v/>
      </c>
      <c r="BU135" t="str">
        <f t="shared" si="131"/>
        <v/>
      </c>
      <c r="BV135">
        <f t="shared" si="132"/>
        <v>2.8571428571428574E-2</v>
      </c>
      <c r="BW135">
        <f>'主翼(桁)'!BG132</f>
        <v>0</v>
      </c>
      <c r="BX135">
        <f t="shared" si="133"/>
        <v>2.8571428571428574E-2</v>
      </c>
      <c r="BY135">
        <f t="shared" si="134"/>
        <v>2.8571428571428574E-2</v>
      </c>
      <c r="CA135">
        <f t="shared" si="135"/>
        <v>169.29873658783694</v>
      </c>
      <c r="CB135">
        <f t="shared" si="136"/>
        <v>2.2634823875432422</v>
      </c>
      <c r="CC135">
        <f t="shared" si="137"/>
        <v>167.03525420029371</v>
      </c>
      <c r="CE135" s="49">
        <f>BY135*パラメーター!$D$5</f>
        <v>0.27991428571428578</v>
      </c>
    </row>
    <row r="136" spans="4:83">
      <c r="D136">
        <f>'主翼(型紙出力)'!B139</f>
        <v>0</v>
      </c>
      <c r="E136">
        <f>'主翼(型紙出力)'!AP139</f>
        <v>0</v>
      </c>
      <c r="G136">
        <f>'主翼(型紙出力)'!E139</f>
        <v>0</v>
      </c>
      <c r="H136">
        <f>'主翼(型紙出力)'!D139/1000</f>
        <v>0</v>
      </c>
      <c r="I136">
        <f>'主翼(型紙出力)'!H139</f>
        <v>0</v>
      </c>
      <c r="J136">
        <f>'主翼(型紙出力)'!G139</f>
        <v>0</v>
      </c>
      <c r="K136">
        <f>'主翼(型紙出力)'!L139</f>
        <v>160.52660379928719</v>
      </c>
      <c r="L136" t="b">
        <f>'主翼(型紙出力)'!I139</f>
        <v>0</v>
      </c>
      <c r="M136">
        <f>'主翼(型紙出力)'!M139</f>
        <v>160.52660379928719</v>
      </c>
      <c r="N136" t="str">
        <f>主翼翼型1!$C$3</f>
        <v>QX0026 root.dat</v>
      </c>
      <c r="O136" cm="1">
        <f t="array" ref="O136">_xlfn.LET(
  _xlpm.y,$E136,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136" t="str">
        <f>主翼翼型2!$C$3</f>
        <v>QX0226.dat</v>
      </c>
      <c r="Q136" cm="1">
        <f t="array" ref="Q136">_xlfn.LET(
  _xlpm.y,$E136,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6" t="str">
        <f>主翼翼型3!$C$3</f>
        <v>QX0126.dat</v>
      </c>
      <c r="S136" cm="1">
        <f t="array" ref="S136">_xlfn.LET(
  _xlpm.y,$E136,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36" t="str">
        <f>主翼翼型4!$C$3</f>
        <v>QX0026 v32.dat</v>
      </c>
      <c r="U136" cm="1">
        <f t="array" ref="U136">_xlfn.LET(
  _xlpm.y,$E136,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6" t="str">
        <f>主翼翼型5!$C$3</f>
        <v>QX0026 v32.dat</v>
      </c>
      <c r="W136" cm="1">
        <f t="array" ref="W136">_xlfn.LET(
  _xlpm.y,$E136,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6" s="233">
        <f t="shared" si="116"/>
        <v>0</v>
      </c>
      <c r="Y136" s="233">
        <f t="shared" si="86"/>
        <v>0</v>
      </c>
      <c r="Z136" s="233">
        <f t="shared" si="117"/>
        <v>8.3999999999999995E-5</v>
      </c>
      <c r="AA136" s="233">
        <f t="shared" si="87"/>
        <v>0</v>
      </c>
      <c r="AB136" s="233">
        <f t="shared" si="118"/>
        <v>2.0000000000000002E-5</v>
      </c>
      <c r="AC136" s="233">
        <f t="shared" si="119"/>
        <v>0</v>
      </c>
      <c r="AD136">
        <f t="shared" si="88"/>
        <v>0</v>
      </c>
      <c r="AE136">
        <f t="shared" si="89"/>
        <v>0</v>
      </c>
      <c r="AF136">
        <f t="shared" si="120"/>
        <v>0</v>
      </c>
      <c r="AG136">
        <f t="shared" si="121"/>
        <v>0</v>
      </c>
      <c r="AH136" t="str">
        <f t="shared" si="122"/>
        <v/>
      </c>
      <c r="AI136" t="str">
        <f t="shared" si="90"/>
        <v/>
      </c>
      <c r="AJ136" t="str">
        <f t="shared" si="123"/>
        <v/>
      </c>
      <c r="AK136" t="str">
        <f t="shared" si="124"/>
        <v/>
      </c>
      <c r="AL136" t="str">
        <f t="shared" si="91"/>
        <v/>
      </c>
      <c r="AM136" t="str">
        <f t="shared" si="125"/>
        <v/>
      </c>
      <c r="AN136" t="str">
        <f t="shared" si="92"/>
        <v/>
      </c>
      <c r="AO136" s="146"/>
      <c r="AP136" t="str">
        <f t="shared" si="93"/>
        <v/>
      </c>
      <c r="AQ136" t="str">
        <f t="shared" si="94"/>
        <v/>
      </c>
      <c r="AR136" t="str">
        <f t="shared" si="95"/>
        <v/>
      </c>
      <c r="AS136" t="str">
        <f t="shared" si="96"/>
        <v/>
      </c>
      <c r="AT136" t="str">
        <f t="shared" si="97"/>
        <v/>
      </c>
      <c r="AU136" t="str">
        <f t="shared" si="98"/>
        <v/>
      </c>
      <c r="AV136" t="str">
        <f t="shared" si="126"/>
        <v/>
      </c>
      <c r="AW136" s="146"/>
      <c r="AX136" t="str">
        <f t="shared" si="99"/>
        <v/>
      </c>
      <c r="AY136" t="str">
        <f t="shared" si="100"/>
        <v/>
      </c>
      <c r="BA136" t="str">
        <f t="shared" si="102"/>
        <v/>
      </c>
      <c r="BB136" t="str">
        <f t="shared" si="103"/>
        <v/>
      </c>
      <c r="BC136" t="str">
        <f t="shared" si="104"/>
        <v/>
      </c>
      <c r="BD136" t="str">
        <f t="shared" si="127"/>
        <v/>
      </c>
      <c r="BE136" s="146"/>
      <c r="BF136" t="str">
        <f t="shared" si="105"/>
        <v/>
      </c>
      <c r="BG136" t="str">
        <f t="shared" si="106"/>
        <v/>
      </c>
      <c r="BI136" t="str">
        <f t="shared" si="108"/>
        <v/>
      </c>
      <c r="BJ136" t="str">
        <f t="shared" si="109"/>
        <v/>
      </c>
      <c r="BK136" t="str">
        <f t="shared" si="110"/>
        <v/>
      </c>
      <c r="BL136" t="str">
        <f t="shared" si="128"/>
        <v/>
      </c>
      <c r="BM136" s="146"/>
      <c r="BN136" t="str">
        <f t="shared" si="129"/>
        <v/>
      </c>
      <c r="BO136" t="str">
        <f t="shared" si="130"/>
        <v/>
      </c>
      <c r="BP136" t="str">
        <f t="shared" si="111"/>
        <v/>
      </c>
      <c r="BQ136" t="str">
        <f t="shared" si="112"/>
        <v/>
      </c>
      <c r="BR136" t="str">
        <f t="shared" si="113"/>
        <v/>
      </c>
      <c r="BS136" t="str">
        <f t="shared" si="114"/>
        <v/>
      </c>
      <c r="BT136" t="str">
        <f t="shared" si="115"/>
        <v/>
      </c>
      <c r="BU136" t="str">
        <f t="shared" si="131"/>
        <v/>
      </c>
      <c r="BV136" t="str">
        <f t="shared" si="132"/>
        <v/>
      </c>
      <c r="BW136">
        <f>'主翼(桁)'!BG133</f>
        <v>0</v>
      </c>
      <c r="BX136">
        <f t="shared" si="133"/>
        <v>0</v>
      </c>
      <c r="BY136">
        <f t="shared" si="134"/>
        <v>0</v>
      </c>
      <c r="CA136">
        <f t="shared" si="135"/>
        <v>4.8809049096307795E-2</v>
      </c>
      <c r="CB136">
        <f t="shared" si="136"/>
        <v>4.8809049096307795E-2</v>
      </c>
      <c r="CC136">
        <f t="shared" si="137"/>
        <v>0</v>
      </c>
      <c r="CE136" s="49">
        <f>BY136*パラメーター!$D$5</f>
        <v>0</v>
      </c>
    </row>
    <row r="137" spans="4:83">
      <c r="D137">
        <f>'主翼(型紙出力)'!B140</f>
        <v>0</v>
      </c>
      <c r="E137">
        <f>'主翼(型紙出力)'!AP140</f>
        <v>0</v>
      </c>
      <c r="G137">
        <f>'主翼(型紙出力)'!E140</f>
        <v>0</v>
      </c>
      <c r="H137">
        <f>'主翼(型紙出力)'!D140/1000</f>
        <v>0</v>
      </c>
      <c r="I137">
        <f>'主翼(型紙出力)'!H140</f>
        <v>0</v>
      </c>
      <c r="J137">
        <f>'主翼(型紙出力)'!G140</f>
        <v>0</v>
      </c>
      <c r="K137">
        <f>'主翼(型紙出力)'!L140</f>
        <v>160.52660379928719</v>
      </c>
      <c r="L137" t="b">
        <f>'主翼(型紙出力)'!I140</f>
        <v>0</v>
      </c>
      <c r="M137">
        <f>'主翼(型紙出力)'!M140</f>
        <v>160.52660379928719</v>
      </c>
      <c r="N137" t="str">
        <f>主翼翼型1!$C$3</f>
        <v>QX0026 root.dat</v>
      </c>
      <c r="O137" cm="1">
        <f t="array" ref="O137">_xlfn.LET(
  _xlpm.y,$E137,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137" t="str">
        <f>主翼翼型2!$C$3</f>
        <v>QX0226.dat</v>
      </c>
      <c r="Q137" cm="1">
        <f t="array" ref="Q137">_xlfn.LET(
  _xlpm.y,$E137,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7" t="str">
        <f>主翼翼型3!$C$3</f>
        <v>QX0126.dat</v>
      </c>
      <c r="S137" cm="1">
        <f t="array" ref="S137">_xlfn.LET(
  _xlpm.y,$E137,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37" t="str">
        <f>主翼翼型4!$C$3</f>
        <v>QX0026 v32.dat</v>
      </c>
      <c r="U137" cm="1">
        <f t="array" ref="U137">_xlfn.LET(
  _xlpm.y,$E137,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7" t="str">
        <f>主翼翼型5!$C$3</f>
        <v>QX0026 v32.dat</v>
      </c>
      <c r="W137" cm="1">
        <f t="array" ref="W137">_xlfn.LET(
  _xlpm.y,$E137,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7" s="233">
        <f>IF(I137="full",(O137*$D$8+Q137*$D$12+S137*$D$16+U137*$D$20+W137*$D$24)*H137*H137,(O137*$D$8+Q137*$D$12+S137*$D$16+U137*$D$20+W137*$D$24)*H137*H137*$D$37)</f>
        <v>0</v>
      </c>
      <c r="Y137" s="233">
        <f>($O137*$D$6+Q137*$D$10+S137*$D$14+U137*$D$18+W137*$D$22)*H137*D$27</f>
        <v>0</v>
      </c>
      <c r="Z137" s="233">
        <f t="shared" si="117"/>
        <v>8.3999999999999995E-5</v>
      </c>
      <c r="AA137" s="233">
        <f>(O137*$D$7+Q137*$D$11+S137*$D$15+U137*$D$19+W137*$D$23)*H137*$D$30</f>
        <v>0</v>
      </c>
      <c r="AB137" s="233">
        <f t="shared" si="118"/>
        <v>2.0000000000000002E-5</v>
      </c>
      <c r="AC137" s="233">
        <f>X137*$D$25</f>
        <v>0</v>
      </c>
      <c r="AD137">
        <f>Y137*G137</f>
        <v>0</v>
      </c>
      <c r="AE137">
        <f>Z137*G137</f>
        <v>0</v>
      </c>
      <c r="AF137">
        <f>AA137*$D$25</f>
        <v>0</v>
      </c>
      <c r="AG137">
        <f>AB137*G137</f>
        <v>0</v>
      </c>
      <c r="AH137" t="str">
        <f t="shared" si="122"/>
        <v/>
      </c>
      <c r="AI137" t="str">
        <f t="shared" si="90"/>
        <v/>
      </c>
      <c r="AJ137" t="str">
        <f t="shared" si="123"/>
        <v/>
      </c>
      <c r="AK137" t="str">
        <f t="shared" si="124"/>
        <v/>
      </c>
      <c r="AL137" t="str">
        <f t="shared" si="91"/>
        <v/>
      </c>
      <c r="AM137" t="str">
        <f>IF(J137="0番",$D$33*H137*H137+$D$34*H137+$D$35*G137,"")</f>
        <v/>
      </c>
      <c r="AN137" t="str">
        <f t="shared" si="92"/>
        <v/>
      </c>
      <c r="AO137" s="146"/>
      <c r="AP137" t="str">
        <f t="shared" si="93"/>
        <v/>
      </c>
      <c r="AQ137" t="str">
        <f t="shared" si="94"/>
        <v/>
      </c>
      <c r="AR137" t="str">
        <f t="shared" si="95"/>
        <v/>
      </c>
      <c r="AS137" t="str">
        <f t="shared" si="96"/>
        <v/>
      </c>
      <c r="AT137" t="str">
        <f t="shared" si="97"/>
        <v/>
      </c>
      <c r="AU137" t="str">
        <f>IF(J137="1番",$D$33*H137*H137+$D$34*H137+$D$35*G137,"")</f>
        <v/>
      </c>
      <c r="AV137" t="str">
        <f t="shared" si="126"/>
        <v/>
      </c>
      <c r="AW137" s="146"/>
      <c r="AX137" t="str">
        <f t="shared" si="99"/>
        <v/>
      </c>
      <c r="AY137" t="str">
        <f t="shared" si="100"/>
        <v/>
      </c>
      <c r="BA137" t="str">
        <f t="shared" si="102"/>
        <v/>
      </c>
      <c r="BB137" t="str">
        <f t="shared" si="103"/>
        <v/>
      </c>
      <c r="BC137" t="str">
        <f>IF(J137="2番",$D$33*H137*H137+$D$34*H137+$D$35*G137,"")</f>
        <v/>
      </c>
      <c r="BD137" t="str">
        <f t="shared" si="127"/>
        <v/>
      </c>
      <c r="BE137" s="146"/>
      <c r="BF137" t="str">
        <f t="shared" si="105"/>
        <v/>
      </c>
      <c r="BG137" t="str">
        <f t="shared" si="106"/>
        <v/>
      </c>
      <c r="BI137" t="str">
        <f t="shared" si="108"/>
        <v/>
      </c>
      <c r="BJ137" t="str">
        <f t="shared" si="109"/>
        <v/>
      </c>
      <c r="BK137" t="str">
        <f>IF(J137="3番",$D$33*H137*H137+$D$34*H137+$D$35*G137,"")</f>
        <v/>
      </c>
      <c r="BL137" t="str">
        <f t="shared" si="128"/>
        <v/>
      </c>
      <c r="BM137" s="146"/>
      <c r="BN137" t="str">
        <f>IF(J138="端リブ",IF(J139="ウィングレット","",$D$38),"")</f>
        <v/>
      </c>
      <c r="BO137" t="str">
        <f>IF(J137="端リブ",IF(J138="ウィングレット","",$D$38),"")</f>
        <v/>
      </c>
      <c r="BP137" t="str">
        <f t="shared" si="111"/>
        <v/>
      </c>
      <c r="BQ137" t="str">
        <f t="shared" si="112"/>
        <v/>
      </c>
      <c r="BR137" t="str">
        <f t="shared" si="113"/>
        <v/>
      </c>
      <c r="BS137" t="str">
        <f t="shared" si="114"/>
        <v/>
      </c>
      <c r="BT137" t="str">
        <f t="shared" si="115"/>
        <v/>
      </c>
      <c r="BU137" t="str">
        <f>IF(J137="端リブ",$D$33*H137*H137+$D$34*H137+$D$35*G137,"")</f>
        <v/>
      </c>
      <c r="BV137" t="str">
        <f>IF(J137="ウィングレット",($Y$19+$Y$22)/$R$21,"")</f>
        <v/>
      </c>
      <c r="BW137">
        <f>'主翼(桁)'!BG134</f>
        <v>0</v>
      </c>
      <c r="BX137">
        <f>SUM(AH137:BV137)</f>
        <v>0</v>
      </c>
      <c r="BY137">
        <f>BW137+BX137</f>
        <v>0</v>
      </c>
      <c r="CA137">
        <f>(E137-$I$29)*(E137-$I$29)+(F137-$I$30)*(F137-$I$30)</f>
        <v>4.8809049096307795E-2</v>
      </c>
      <c r="CB137">
        <f>(F137-$I$30)*(F137-$I$30)</f>
        <v>4.8809049096307795E-2</v>
      </c>
      <c r="CC137">
        <f>(E137-$I$29)*(E137-$I$29)</f>
        <v>0</v>
      </c>
      <c r="CE137" s="49">
        <f>BY137*パラメーター!$D$5</f>
        <v>0</v>
      </c>
    </row>
    <row r="138" spans="4:83">
      <c r="D138">
        <f>'主翼(型紙出力)'!B141</f>
        <v>0</v>
      </c>
      <c r="E138">
        <f>'主翼(型紙出力)'!AP141</f>
        <v>0</v>
      </c>
      <c r="G138">
        <f>'主翼(型紙出力)'!E141</f>
        <v>0</v>
      </c>
      <c r="H138">
        <f>'主翼(型紙出力)'!D141/1000</f>
        <v>0</v>
      </c>
      <c r="I138">
        <f>'主翼(型紙出力)'!H141</f>
        <v>0</v>
      </c>
      <c r="J138">
        <f>'主翼(型紙出力)'!G141</f>
        <v>0</v>
      </c>
      <c r="K138">
        <f>'主翼(型紙出力)'!L141</f>
        <v>160.52660379928719</v>
      </c>
      <c r="L138" t="b">
        <f>'主翼(型紙出力)'!I141</f>
        <v>0</v>
      </c>
      <c r="M138">
        <f>'主翼(型紙出力)'!M141</f>
        <v>160.52660379928719</v>
      </c>
      <c r="N138" t="str">
        <f>主翼翼型1!$C$3</f>
        <v>QX0026 root.dat</v>
      </c>
      <c r="O138" cm="1">
        <f t="array" ref="O138">_xlfn.LET(
  _xlpm.y,$E138,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138" t="str">
        <f>主翼翼型2!$C$3</f>
        <v>QX0226.dat</v>
      </c>
      <c r="Q138" cm="1">
        <f t="array" ref="Q138">_xlfn.LET(
  _xlpm.y,$E138,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8" t="str">
        <f>主翼翼型3!$C$3</f>
        <v>QX0126.dat</v>
      </c>
      <c r="S138" cm="1">
        <f t="array" ref="S138">_xlfn.LET(
  _xlpm.y,$E138,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38" t="str">
        <f>主翼翼型4!$C$3</f>
        <v>QX0026 v32.dat</v>
      </c>
      <c r="U138" cm="1">
        <f t="array" ref="U138">_xlfn.LET(
  _xlpm.y,$E138,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8" t="str">
        <f>主翼翼型5!$C$3</f>
        <v>QX0026 v32.dat</v>
      </c>
      <c r="W138" cm="1">
        <f t="array" ref="W138">_xlfn.LET(
  _xlpm.y,$E138,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8" s="233">
        <f>IF(I138="full",(O138*$D$8+Q138*$D$12+S138*$D$16+U138*$D$20+W138*$D$24)*H138*H138,(O138*$D$8+Q138*$D$12+S138*$D$16+U138*$D$20+W138*$D$24)*H138*H138*$D$37)</f>
        <v>0</v>
      </c>
      <c r="Y138" s="233">
        <f>($O138*$D$6+Q138*$D$10+S138*$D$14+U138*$D$18+W138*$D$22)*H138*D$27</f>
        <v>0</v>
      </c>
      <c r="Z138" s="233">
        <f t="shared" si="117"/>
        <v>8.3999999999999995E-5</v>
      </c>
      <c r="AA138" s="233">
        <f>(O138*$D$7+Q138*$D$11+S138*$D$15+U138*$D$19+W138*$D$23)*H138*$D$30</f>
        <v>0</v>
      </c>
      <c r="AB138" s="233">
        <f t="shared" si="118"/>
        <v>2.0000000000000002E-5</v>
      </c>
      <c r="AC138" s="233">
        <f>X138*$D$25</f>
        <v>0</v>
      </c>
      <c r="AD138">
        <f>Y138*G138</f>
        <v>0</v>
      </c>
      <c r="AE138">
        <f>Z138*G138</f>
        <v>0</v>
      </c>
      <c r="AF138">
        <f>AA138*$D$25</f>
        <v>0</v>
      </c>
      <c r="AG138">
        <f>AB138*G138</f>
        <v>0</v>
      </c>
      <c r="AH138" t="str">
        <f t="shared" si="122"/>
        <v/>
      </c>
      <c r="AI138" t="str">
        <f t="shared" si="90"/>
        <v/>
      </c>
      <c r="AJ138" t="str">
        <f t="shared" si="123"/>
        <v/>
      </c>
      <c r="AK138" t="str">
        <f t="shared" si="124"/>
        <v/>
      </c>
      <c r="AL138" t="str">
        <f t="shared" si="91"/>
        <v/>
      </c>
      <c r="AM138" t="str">
        <f>IF(J138="0番",$D$33*H138*H138+$D$34*H138+$D$35*G138,"")</f>
        <v/>
      </c>
      <c r="AN138" t="str">
        <f t="shared" si="92"/>
        <v/>
      </c>
      <c r="AO138" s="146"/>
      <c r="AP138" t="str">
        <f t="shared" si="93"/>
        <v/>
      </c>
      <c r="AQ138" t="str">
        <f t="shared" si="94"/>
        <v/>
      </c>
      <c r="AR138" t="str">
        <f t="shared" si="95"/>
        <v/>
      </c>
      <c r="AS138" t="str">
        <f t="shared" si="96"/>
        <v/>
      </c>
      <c r="AT138" t="str">
        <f t="shared" si="97"/>
        <v/>
      </c>
      <c r="AU138" t="str">
        <f>IF(J138="1番",$D$33*H138*H138+$D$34*H138+$D$35*G138,"")</f>
        <v/>
      </c>
      <c r="AV138" t="str">
        <f t="shared" si="126"/>
        <v/>
      </c>
      <c r="AW138" s="146"/>
      <c r="AX138" t="str">
        <f t="shared" si="99"/>
        <v/>
      </c>
      <c r="AY138" t="str">
        <f t="shared" si="100"/>
        <v/>
      </c>
      <c r="BA138" t="str">
        <f t="shared" si="102"/>
        <v/>
      </c>
      <c r="BB138" t="str">
        <f t="shared" si="103"/>
        <v/>
      </c>
      <c r="BC138" t="str">
        <f>IF(J138="2番",$D$33*H138*H138+$D$34*H138+$D$35*G138,"")</f>
        <v/>
      </c>
      <c r="BD138" t="str">
        <f t="shared" si="127"/>
        <v/>
      </c>
      <c r="BE138" s="146"/>
      <c r="BF138" t="str">
        <f t="shared" si="105"/>
        <v/>
      </c>
      <c r="BG138" t="str">
        <f t="shared" si="106"/>
        <v/>
      </c>
      <c r="BI138" t="str">
        <f t="shared" si="108"/>
        <v/>
      </c>
      <c r="BJ138" t="str">
        <f t="shared" si="109"/>
        <v/>
      </c>
      <c r="BK138" t="str">
        <f>IF(J138="3番",$D$33*H138*H138+$D$34*H138+$D$35*G138,"")</f>
        <v/>
      </c>
      <c r="BL138" t="str">
        <f t="shared" si="128"/>
        <v/>
      </c>
      <c r="BM138" s="146"/>
      <c r="BN138" t="str">
        <f>IF(J139="端リブ",IF(J140="ウィングレット","",$D$38),"")</f>
        <v/>
      </c>
      <c r="BO138" t="str">
        <f>IF(J138="端リブ",IF(J139="ウィングレット","",$D$38),"")</f>
        <v/>
      </c>
      <c r="BP138" t="str">
        <f t="shared" si="111"/>
        <v/>
      </c>
      <c r="BQ138" t="str">
        <f t="shared" si="112"/>
        <v/>
      </c>
      <c r="BR138" t="str">
        <f t="shared" si="113"/>
        <v/>
      </c>
      <c r="BS138" t="str">
        <f t="shared" si="114"/>
        <v/>
      </c>
      <c r="BT138" t="str">
        <f t="shared" si="115"/>
        <v/>
      </c>
      <c r="BU138" t="str">
        <f>IF(J138="端リブ",$D$33*H138*H138+$D$34*H138+$D$35*G138,"")</f>
        <v/>
      </c>
      <c r="BV138" t="str">
        <f>IF(J138="ウィングレット",($Y$19+$Y$22)/$R$21,"")</f>
        <v/>
      </c>
      <c r="BW138">
        <f>'主翼(桁)'!BG135</f>
        <v>0</v>
      </c>
      <c r="BX138">
        <f>SUM(AH138:BV138)</f>
        <v>0</v>
      </c>
      <c r="BY138">
        <f>BW138+BX138</f>
        <v>0</v>
      </c>
      <c r="CA138">
        <f>(E138-$I$29)*(E138-$I$29)+(F138-$I$30)*(F138-$I$30)</f>
        <v>4.8809049096307795E-2</v>
      </c>
      <c r="CB138">
        <f>(F138-$I$30)*(F138-$I$30)</f>
        <v>4.8809049096307795E-2</v>
      </c>
      <c r="CC138">
        <f>(E138-$I$29)*(E138-$I$29)</f>
        <v>0</v>
      </c>
      <c r="CE138" s="49">
        <f>BY138*パラメーター!$D$5</f>
        <v>0</v>
      </c>
    </row>
    <row r="139" spans="4:83">
      <c r="D139">
        <f>'主翼(型紙出力)'!B142</f>
        <v>0</v>
      </c>
      <c r="E139">
        <f>'主翼(型紙出力)'!AP142</f>
        <v>0</v>
      </c>
      <c r="G139">
        <f>'主翼(型紙出力)'!E142</f>
        <v>0</v>
      </c>
      <c r="H139">
        <f>'主翼(型紙出力)'!D142/1000</f>
        <v>0</v>
      </c>
      <c r="I139">
        <f>'主翼(型紙出力)'!H142</f>
        <v>0</v>
      </c>
      <c r="J139">
        <f>'主翼(型紙出力)'!G142</f>
        <v>0</v>
      </c>
      <c r="K139">
        <f>'主翼(型紙出力)'!L142</f>
        <v>160.52660379928719</v>
      </c>
      <c r="L139" t="b">
        <f>'主翼(型紙出力)'!I142</f>
        <v>0</v>
      </c>
      <c r="M139">
        <f>'主翼(型紙出力)'!M142</f>
        <v>160.52660379928719</v>
      </c>
      <c r="N139" t="str">
        <f>主翼翼型1!$C$3</f>
        <v>QX0026 root.dat</v>
      </c>
      <c r="O139" cm="1">
        <f t="array" ref="O139">_xlfn.LET(
  _xlpm.y,$E139,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139" t="str">
        <f>主翼翼型2!$C$3</f>
        <v>QX0226.dat</v>
      </c>
      <c r="Q139" cm="1">
        <f t="array" ref="Q139">_xlfn.LET(
  _xlpm.y,$E139,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9" t="str">
        <f>主翼翼型3!$C$3</f>
        <v>QX0126.dat</v>
      </c>
      <c r="S139" cm="1">
        <f t="array" ref="S139">_xlfn.LET(
  _xlpm.y,$E139,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39" t="str">
        <f>主翼翼型4!$C$3</f>
        <v>QX0026 v32.dat</v>
      </c>
      <c r="U139" cm="1">
        <f t="array" ref="U139">_xlfn.LET(
  _xlpm.y,$E139,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9" t="str">
        <f>主翼翼型5!$C$3</f>
        <v>QX0026 v32.dat</v>
      </c>
      <c r="W139" cm="1">
        <f t="array" ref="W139">_xlfn.LET(
  _xlpm.y,$E139,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9" s="233">
        <f>IF(I139="full",(O139*$D$8+Q139*$D$12+S139*$D$16+U139*$D$20+W139*$D$24)*H139*H139,(O139*$D$8+Q139*$D$12+S139*$D$16+U139*$D$20+W139*$D$24)*H139*H139*$D$37)</f>
        <v>0</v>
      </c>
      <c r="Y139" s="233">
        <f>($O139*$D$6+Q139*$D$10+S139*$D$14+U139*$D$18+W139*$D$22)*H139*D$27</f>
        <v>0</v>
      </c>
      <c r="Z139" s="233">
        <f t="shared" si="117"/>
        <v>8.3999999999999995E-5</v>
      </c>
      <c r="AA139" s="233">
        <f>(O139*$D$7+Q139*$D$11+S139*$D$15+U139*$D$19+W139*$D$23)*H139*$D$30</f>
        <v>0</v>
      </c>
      <c r="AB139" s="233">
        <f t="shared" si="118"/>
        <v>2.0000000000000002E-5</v>
      </c>
      <c r="AC139" s="233">
        <f>X139*$D$25</f>
        <v>0</v>
      </c>
      <c r="AD139">
        <f>Y139*G139</f>
        <v>0</v>
      </c>
      <c r="AE139">
        <f>Z139*G139</f>
        <v>0</v>
      </c>
      <c r="AF139">
        <f>AA139*$D$25</f>
        <v>0</v>
      </c>
      <c r="AG139">
        <f>AB139*G139</f>
        <v>0</v>
      </c>
      <c r="AH139" t="str">
        <f t="shared" si="122"/>
        <v/>
      </c>
      <c r="AI139" t="str">
        <f t="shared" si="90"/>
        <v/>
      </c>
      <c r="AJ139" t="str">
        <f t="shared" si="123"/>
        <v/>
      </c>
      <c r="AK139" t="str">
        <f t="shared" si="124"/>
        <v/>
      </c>
      <c r="AL139" t="str">
        <f t="shared" si="91"/>
        <v/>
      </c>
      <c r="AM139" t="str">
        <f>IF(J139="0番",$D$33*H139*H139+$D$34*H139+$D$35*G139,"")</f>
        <v/>
      </c>
      <c r="AN139" t="str">
        <f t="shared" si="92"/>
        <v/>
      </c>
      <c r="AO139" s="146"/>
      <c r="AP139" t="str">
        <f t="shared" si="93"/>
        <v/>
      </c>
      <c r="AQ139" t="str">
        <f t="shared" si="94"/>
        <v/>
      </c>
      <c r="AR139" t="str">
        <f t="shared" si="95"/>
        <v/>
      </c>
      <c r="AS139" t="str">
        <f t="shared" si="96"/>
        <v/>
      </c>
      <c r="AT139" t="str">
        <f t="shared" si="97"/>
        <v/>
      </c>
      <c r="AU139" t="str">
        <f>IF(J139="1番",$D$33*H139*H139+$D$34*H139+$D$35*G139,"")</f>
        <v/>
      </c>
      <c r="AV139" t="str">
        <f t="shared" si="126"/>
        <v/>
      </c>
      <c r="AW139" s="146"/>
      <c r="AX139" t="str">
        <f t="shared" si="99"/>
        <v/>
      </c>
      <c r="AY139" t="str">
        <f t="shared" si="100"/>
        <v/>
      </c>
      <c r="BA139" t="str">
        <f t="shared" si="102"/>
        <v/>
      </c>
      <c r="BB139" t="str">
        <f t="shared" si="103"/>
        <v/>
      </c>
      <c r="BC139" t="str">
        <f>IF(J139="2番",$D$33*H139*H139+$D$34*H139+$D$35*G139,"")</f>
        <v/>
      </c>
      <c r="BD139" t="str">
        <f t="shared" si="127"/>
        <v/>
      </c>
      <c r="BE139" s="146"/>
      <c r="BF139" t="str">
        <f t="shared" si="105"/>
        <v/>
      </c>
      <c r="BG139" t="str">
        <f t="shared" si="106"/>
        <v/>
      </c>
      <c r="BI139" t="str">
        <f t="shared" si="108"/>
        <v/>
      </c>
      <c r="BJ139" t="str">
        <f t="shared" si="109"/>
        <v/>
      </c>
      <c r="BK139" t="str">
        <f>IF(J139="3番",$D$33*H139*H139+$D$34*H139+$D$35*G139,"")</f>
        <v/>
      </c>
      <c r="BL139" t="str">
        <f t="shared" si="128"/>
        <v/>
      </c>
      <c r="BM139" s="146"/>
      <c r="BN139" t="str">
        <f>IF(J140="端リブ",IF(J141="ウィングレット","",$D$38),"")</f>
        <v/>
      </c>
      <c r="BO139" t="str">
        <f>IF(J139="端リブ",IF(J140="ウィングレット","",$D$38),"")</f>
        <v/>
      </c>
      <c r="BP139" t="str">
        <f t="shared" si="111"/>
        <v/>
      </c>
      <c r="BQ139" t="str">
        <f t="shared" si="112"/>
        <v/>
      </c>
      <c r="BR139" t="str">
        <f t="shared" si="113"/>
        <v/>
      </c>
      <c r="BS139" t="str">
        <f t="shared" si="114"/>
        <v/>
      </c>
      <c r="BT139" t="str">
        <f t="shared" si="115"/>
        <v/>
      </c>
      <c r="BU139" t="str">
        <f>IF(J139="端リブ",$D$33*H139*H139+$D$34*H139+$D$35*G139,"")</f>
        <v/>
      </c>
      <c r="BV139" t="str">
        <f>IF(J139="ウィングレット",($Y$19+$Y$22)/$R$21,"")</f>
        <v/>
      </c>
      <c r="BW139">
        <f>'主翼(桁)'!BG136</f>
        <v>0</v>
      </c>
      <c r="BX139">
        <f>SUM(AH139:BV139)</f>
        <v>0</v>
      </c>
      <c r="BY139">
        <f>BW139+BX139</f>
        <v>0</v>
      </c>
      <c r="CA139">
        <f>(E139-$I$29)*(E139-$I$29)+(F139-$I$30)*(F139-$I$30)</f>
        <v>4.8809049096307795E-2</v>
      </c>
      <c r="CB139">
        <f>(F139-$I$30)*(F139-$I$30)</f>
        <v>4.8809049096307795E-2</v>
      </c>
      <c r="CC139">
        <f>(E139-$I$29)*(E139-$I$29)</f>
        <v>0</v>
      </c>
      <c r="CE139" s="49">
        <f>BY139*パラメーター!$D$5</f>
        <v>0</v>
      </c>
    </row>
    <row r="140" spans="4:83">
      <c r="D140">
        <f>'主翼(型紙出力)'!B143</f>
        <v>0</v>
      </c>
      <c r="E140">
        <f>'主翼(型紙出力)'!C143</f>
        <v>0</v>
      </c>
      <c r="G140">
        <f>'主翼(型紙出力)'!E143</f>
        <v>0</v>
      </c>
      <c r="H140">
        <f>'主翼(型紙出力)'!D143/1000</f>
        <v>0</v>
      </c>
      <c r="I140">
        <f>'主翼(型紙出力)'!H143</f>
        <v>0</v>
      </c>
      <c r="J140">
        <f>'主翼(型紙出力)'!G143</f>
        <v>0</v>
      </c>
      <c r="K140">
        <f>'主翼(型紙出力)'!L143</f>
        <v>160.52660379928719</v>
      </c>
      <c r="L140">
        <f>'主翼(型紙出力)'!I143</f>
        <v>0</v>
      </c>
      <c r="M140">
        <f>'主翼(型紙出力)'!M143</f>
        <v>160.52660379928719</v>
      </c>
      <c r="N140" t="str">
        <f>主翼翼型1!$C$3</f>
        <v>QX0026 root.dat</v>
      </c>
      <c r="O140" cm="1">
        <f t="array" ref="O140">_xlfn.LET(
  _xlpm.y,$E140,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140" t="str">
        <f>主翼翼型2!$C$3</f>
        <v>QX0226.dat</v>
      </c>
      <c r="Q140" cm="1">
        <f t="array" ref="Q140">_xlfn.LET(
  _xlpm.y,$E140,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40" t="str">
        <f>主翼翼型3!$C$3</f>
        <v>QX0126.dat</v>
      </c>
      <c r="S140" cm="1">
        <f t="array" ref="S140">_xlfn.LET(
  _xlpm.y,$E140,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40" t="str">
        <f>主翼翼型4!$C$3</f>
        <v>QX0026 v32.dat</v>
      </c>
      <c r="U140" cm="1">
        <f t="array" ref="U140">_xlfn.LET(
  _xlpm.y,$E140,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40" t="str">
        <f>主翼翼型5!$C$3</f>
        <v>QX0026 v32.dat</v>
      </c>
      <c r="W140" cm="1">
        <f t="array" ref="W140">_xlfn.LET(
  _xlpm.y,$E140,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40" s="233">
        <f>IF(I140="full",(O140*$D$8+Q140*$D$12+S140*$D$16+U140*$D$20+W140*$D$24)*H140*H140,(O140*$D$8+Q140*$D$12+S140*$D$16+U140*$D$20+W140*$D$24)*H140*H140*$D$37)</f>
        <v>0</v>
      </c>
      <c r="Y140" s="233">
        <f>($O140*$D$6+Q140*$D$10+S140*$D$14+U140*$D$18+W140*$D$22)*H140*D$27</f>
        <v>0</v>
      </c>
      <c r="Z140" s="233">
        <f t="shared" si="117"/>
        <v>8.3999999999999995E-5</v>
      </c>
      <c r="AA140" s="233">
        <f>(O140*$D$7+Q140*$D$11+S140*$D$15+U140*$D$19+W140*$D$23)*H140*$D$30</f>
        <v>0</v>
      </c>
      <c r="AB140" s="233">
        <f t="shared" si="118"/>
        <v>2.0000000000000002E-5</v>
      </c>
      <c r="AC140" s="233">
        <f>X140*$D$25</f>
        <v>0</v>
      </c>
      <c r="AD140">
        <f>Y140*G140</f>
        <v>0</v>
      </c>
      <c r="AE140">
        <f>Z140*G140</f>
        <v>0</v>
      </c>
      <c r="AF140">
        <f>AA140*$D$25</f>
        <v>0</v>
      </c>
      <c r="AG140">
        <f>AB140*G140</f>
        <v>0</v>
      </c>
      <c r="AH140" t="str">
        <f t="shared" si="122"/>
        <v/>
      </c>
      <c r="AI140" t="str">
        <f t="shared" si="90"/>
        <v/>
      </c>
      <c r="AJ140" t="str">
        <f t="shared" si="123"/>
        <v/>
      </c>
      <c r="AK140" t="str">
        <f t="shared" si="124"/>
        <v/>
      </c>
      <c r="AL140" t="str">
        <f t="shared" si="91"/>
        <v/>
      </c>
      <c r="AM140" t="str">
        <f>IF(J140="0番",$D$33*H140*H140+$D$34*H140+$D$35*G140,"")</f>
        <v/>
      </c>
      <c r="AN140" t="str">
        <f t="shared" si="92"/>
        <v/>
      </c>
      <c r="AO140" s="146"/>
      <c r="AP140" t="str">
        <f t="shared" si="93"/>
        <v/>
      </c>
      <c r="AQ140" t="str">
        <f t="shared" si="94"/>
        <v/>
      </c>
      <c r="AR140" t="str">
        <f t="shared" si="95"/>
        <v/>
      </c>
      <c r="AS140" t="str">
        <f t="shared" si="96"/>
        <v/>
      </c>
      <c r="AT140" t="str">
        <f t="shared" si="97"/>
        <v/>
      </c>
      <c r="AU140" t="str">
        <f>IF(J140="1番",$D$33*H140*H140+$D$34*H140+$D$35*G140,"")</f>
        <v/>
      </c>
      <c r="AV140" t="str">
        <f t="shared" si="126"/>
        <v/>
      </c>
      <c r="AW140" s="146"/>
      <c r="AX140" t="str">
        <f t="shared" si="99"/>
        <v/>
      </c>
      <c r="AY140" t="str">
        <f t="shared" si="100"/>
        <v/>
      </c>
      <c r="BA140" t="str">
        <f t="shared" si="102"/>
        <v/>
      </c>
      <c r="BB140" t="str">
        <f t="shared" si="103"/>
        <v/>
      </c>
      <c r="BC140" t="str">
        <f>IF(J140="2番",$D$33*H140*H140+$D$34*H140+$D$35*G140,"")</f>
        <v/>
      </c>
      <c r="BD140" t="str">
        <f t="shared" si="127"/>
        <v/>
      </c>
      <c r="BE140" s="146"/>
      <c r="BF140" t="str">
        <f t="shared" si="105"/>
        <v/>
      </c>
      <c r="BG140" t="str">
        <f t="shared" si="106"/>
        <v/>
      </c>
      <c r="BI140" t="str">
        <f t="shared" si="108"/>
        <v/>
      </c>
      <c r="BJ140" t="str">
        <f t="shared" si="109"/>
        <v/>
      </c>
      <c r="BK140" t="str">
        <f>IF(J140="3番",$D$33*H140*H140+$D$34*H140+$D$35*G140,"")</f>
        <v/>
      </c>
      <c r="BL140" t="str">
        <f t="shared" si="128"/>
        <v/>
      </c>
      <c r="BM140" s="146"/>
      <c r="BN140" t="str">
        <f>IF(J141="端リブ",IF(J142="ウィングレット","",$D$38),"")</f>
        <v/>
      </c>
      <c r="BO140" t="str">
        <f>IF(J140="端リブ",IF(J141="ウィングレット","",$D$38),"")</f>
        <v/>
      </c>
      <c r="BP140" t="str">
        <f t="shared" si="111"/>
        <v/>
      </c>
      <c r="BQ140" t="str">
        <f t="shared" si="112"/>
        <v/>
      </c>
      <c r="BR140" t="str">
        <f t="shared" si="113"/>
        <v/>
      </c>
      <c r="BS140" t="str">
        <f t="shared" si="114"/>
        <v/>
      </c>
      <c r="BT140" t="str">
        <f t="shared" si="115"/>
        <v/>
      </c>
      <c r="BU140" t="str">
        <f>IF(J140="端リブ",$D$33*H140*H140+$D$34*H140+$D$35*G140,"")</f>
        <v/>
      </c>
      <c r="BV140" t="str">
        <f>IF(J140="ウィングレット",($Y$19+$Y$22)/$R$21,"")</f>
        <v/>
      </c>
      <c r="BW140">
        <f>'主翼(桁)'!BG137</f>
        <v>0</v>
      </c>
      <c r="BX140">
        <f>SUM(AH140:BV140)</f>
        <v>0</v>
      </c>
      <c r="BY140">
        <f>BW140+BX140</f>
        <v>0</v>
      </c>
      <c r="CA140">
        <f>(E140-$I$29)*(E140-$I$29)+(F140-$I$30)*(F140-$I$30)</f>
        <v>4.8809049096307795E-2</v>
      </c>
      <c r="CB140">
        <f>(F140-$I$30)*(F140-$I$30)</f>
        <v>4.8809049096307795E-2</v>
      </c>
      <c r="CC140">
        <f>(E140-$I$29)*(E140-$I$29)</f>
        <v>0</v>
      </c>
      <c r="CE140" s="49">
        <f>BY140*パラメーター!$D$5</f>
        <v>0</v>
      </c>
    </row>
    <row r="141" spans="4:83">
      <c r="D141">
        <f>'主翼(型紙出力)'!B144</f>
        <v>0</v>
      </c>
      <c r="E141">
        <f>'主翼(型紙出力)'!C144</f>
        <v>0</v>
      </c>
      <c r="G141">
        <f>'主翼(型紙出力)'!E144</f>
        <v>0</v>
      </c>
      <c r="H141">
        <f>'主翼(型紙出力)'!D144/1000</f>
        <v>0</v>
      </c>
      <c r="I141">
        <f>'主翼(型紙出力)'!H144</f>
        <v>0</v>
      </c>
      <c r="J141">
        <f>'主翼(型紙出力)'!G144</f>
        <v>0</v>
      </c>
      <c r="K141">
        <f>'主翼(型紙出力)'!L144</f>
        <v>0.16052660379928718</v>
      </c>
      <c r="L141">
        <f>'主翼(型紙出力)'!I144</f>
        <v>0</v>
      </c>
      <c r="M141">
        <f>'主翼(型紙出力)'!M144</f>
        <v>0.16052660379928718</v>
      </c>
      <c r="N141" t="str">
        <f>主翼翼型1!$C$3</f>
        <v>QX0026 root.dat</v>
      </c>
      <c r="O141" cm="1">
        <f t="array" ref="O141">_xlfn.LET(
  _xlpm.y,$E141,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141" t="str">
        <f>主翼翼型2!$C$3</f>
        <v>QX0226.dat</v>
      </c>
      <c r="Q141" cm="1">
        <f t="array" ref="Q141">_xlfn.LET(
  _xlpm.y,$E141,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41" t="str">
        <f>主翼翼型3!$C$3</f>
        <v>QX0126.dat</v>
      </c>
      <c r="S141" cm="1">
        <f t="array" ref="S141">_xlfn.LET(
  _xlpm.y,$E141,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41" t="str">
        <f>主翼翼型4!$C$3</f>
        <v>QX0026 v32.dat</v>
      </c>
      <c r="U141" cm="1">
        <f t="array" ref="U141">_xlfn.LET(
  _xlpm.y,$E141,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41" t="str">
        <f>主翼翼型5!$C$3</f>
        <v>QX0026 v32.dat</v>
      </c>
      <c r="W141" cm="1">
        <f t="array" ref="W141">_xlfn.LET(
  _xlpm.y,$E141,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41" s="233">
        <f>IF(I141="full",(O141*$D$8+Q141*$D$12+S141*$D$16+U141*$D$20+W141*$D$24)*H141*H141,(O141*$D$8+Q141*$D$12+S141*$D$16+U141*$D$20+W141*$D$24)*H141*H141*$D$37)</f>
        <v>0</v>
      </c>
      <c r="Y141" s="233">
        <f>($O141*$D$6+Q141*$D$10+S141*$D$14+U141*$D$18+W141*$D$22)*H141*D$27</f>
        <v>0</v>
      </c>
      <c r="Z141" s="233">
        <f t="shared" si="117"/>
        <v>8.3999999999999995E-5</v>
      </c>
      <c r="AA141" s="233">
        <f>(O141*$D$7+Q141*$D$11+S141*$D$15+U141*$D$19+W141*$D$23)*H141*$D$30</f>
        <v>0</v>
      </c>
      <c r="AB141" s="233">
        <f t="shared" si="118"/>
        <v>2.0000000000000002E-5</v>
      </c>
      <c r="AC141" s="233">
        <f>X141*$D$25</f>
        <v>0</v>
      </c>
      <c r="AD141">
        <f>Y141*G141</f>
        <v>0</v>
      </c>
      <c r="AE141">
        <f>Z141*G141</f>
        <v>0</v>
      </c>
      <c r="AF141">
        <f>AA141*$D$25</f>
        <v>0</v>
      </c>
      <c r="AG141">
        <f>AB141*G141</f>
        <v>0</v>
      </c>
      <c r="AH141" t="str">
        <f t="shared" si="122"/>
        <v/>
      </c>
      <c r="AI141" t="str">
        <f t="shared" si="90"/>
        <v/>
      </c>
      <c r="AJ141" t="str">
        <f t="shared" si="123"/>
        <v/>
      </c>
      <c r="AK141" t="str">
        <f t="shared" si="124"/>
        <v/>
      </c>
      <c r="AL141" t="str">
        <f t="shared" si="91"/>
        <v/>
      </c>
      <c r="AM141" t="str">
        <f>IF(J141="0番",$D$33*H141*H141+$D$34*H141+$D$35*G141,"")</f>
        <v/>
      </c>
      <c r="AN141" t="str">
        <f t="shared" si="92"/>
        <v/>
      </c>
      <c r="AO141" s="146"/>
      <c r="AP141" t="str">
        <f t="shared" si="93"/>
        <v/>
      </c>
      <c r="AQ141" t="str">
        <f t="shared" si="94"/>
        <v/>
      </c>
      <c r="AR141" t="str">
        <f t="shared" si="95"/>
        <v/>
      </c>
      <c r="AS141" t="str">
        <f t="shared" si="96"/>
        <v/>
      </c>
      <c r="AT141" t="str">
        <f t="shared" si="97"/>
        <v/>
      </c>
      <c r="AU141" t="str">
        <f>IF(J141="1番",$D$33*H141*H141+$D$34*H141+$D$35*G141,"")</f>
        <v/>
      </c>
      <c r="AV141" t="str">
        <f t="shared" si="126"/>
        <v/>
      </c>
      <c r="AW141" s="146"/>
      <c r="AX141" t="str">
        <f t="shared" si="99"/>
        <v/>
      </c>
      <c r="AY141" t="str">
        <f t="shared" si="100"/>
        <v/>
      </c>
      <c r="BA141" t="str">
        <f t="shared" si="102"/>
        <v/>
      </c>
      <c r="BB141" t="str">
        <f t="shared" si="103"/>
        <v/>
      </c>
      <c r="BC141" t="str">
        <f>IF(J141="2番",$D$33*H141*H141+$D$34*H141+$D$35*G141,"")</f>
        <v/>
      </c>
      <c r="BD141" t="str">
        <f t="shared" si="127"/>
        <v/>
      </c>
      <c r="BE141" s="146"/>
      <c r="BF141" t="str">
        <f t="shared" si="105"/>
        <v/>
      </c>
      <c r="BG141" t="str">
        <f t="shared" si="106"/>
        <v/>
      </c>
      <c r="BI141" t="str">
        <f t="shared" si="108"/>
        <v/>
      </c>
      <c r="BJ141" t="str">
        <f t="shared" si="109"/>
        <v/>
      </c>
      <c r="BK141" t="str">
        <f>IF(J141="3番",$D$33*H141*H141+$D$34*H141+$D$35*G141,"")</f>
        <v/>
      </c>
      <c r="BL141" t="str">
        <f t="shared" si="128"/>
        <v/>
      </c>
      <c r="BM141" s="146"/>
      <c r="BN141" t="str">
        <f>IF(J142="端リブ",IF(J143="ウィングレット","",$D$38),"")</f>
        <v/>
      </c>
      <c r="BO141" t="str">
        <f>IF(J141="端リブ",IF(J142="ウィングレット","",$D$38),"")</f>
        <v/>
      </c>
      <c r="BP141" t="str">
        <f t="shared" si="111"/>
        <v/>
      </c>
      <c r="BQ141" t="str">
        <f t="shared" si="112"/>
        <v/>
      </c>
      <c r="BR141" t="str">
        <f t="shared" si="113"/>
        <v/>
      </c>
      <c r="BS141" t="str">
        <f t="shared" si="114"/>
        <v/>
      </c>
      <c r="BT141" t="str">
        <f t="shared" si="115"/>
        <v/>
      </c>
      <c r="BU141" t="str">
        <f>IF(J141="端リブ",$D$33*H141*H141+$D$34*H141+$D$35*G141,"")</f>
        <v/>
      </c>
      <c r="BV141" t="str">
        <f>IF(J141="ウィングレット",($Y$19+$Y$22)/$R$21,"")</f>
        <v/>
      </c>
      <c r="BW141">
        <f>'主翼(桁)'!BG138</f>
        <v>0</v>
      </c>
      <c r="BX141">
        <f>SUM(AH141:BV141)</f>
        <v>0</v>
      </c>
      <c r="BY141">
        <f>BW141+BX141</f>
        <v>0</v>
      </c>
      <c r="CA141">
        <f>(E141-$I$29)*(E141-$I$29)+(F141-$I$30)*(F141-$I$30)</f>
        <v>4.8809049096307795E-2</v>
      </c>
      <c r="CB141">
        <f>(F141-$I$30)*(F141-$I$30)</f>
        <v>4.8809049096307795E-2</v>
      </c>
      <c r="CC141">
        <f>(E141-$I$29)*(E141-$I$29)</f>
        <v>0</v>
      </c>
      <c r="CE141" s="49">
        <f>BY141*パラメーター!$D$5</f>
        <v>0</v>
      </c>
    </row>
    <row r="142" spans="4:83">
      <c r="G142">
        <f>'主翼(型紙出力)'!E145</f>
        <v>0</v>
      </c>
      <c r="K142">
        <f>'主翼(型紙出力)'!L145</f>
        <v>0.16052660379928718</v>
      </c>
      <c r="L142">
        <f>'主翼(型紙出力)'!I145</f>
        <v>0</v>
      </c>
      <c r="M142">
        <f>'主翼(型紙出力)'!M145</f>
        <v>0</v>
      </c>
      <c r="BF142" t="str">
        <f t="shared" si="105"/>
        <v/>
      </c>
      <c r="BL142" t="str">
        <f t="shared" si="128"/>
        <v/>
      </c>
      <c r="CE142" s="49">
        <f>BY142*パラメーター!$D$5</f>
        <v>0</v>
      </c>
    </row>
    <row r="143" spans="4:83">
      <c r="G143">
        <f>'主翼(型紙出力)'!E146</f>
        <v>0</v>
      </c>
      <c r="BF143" t="str">
        <f t="shared" si="105"/>
        <v/>
      </c>
      <c r="BL143" t="str">
        <f t="shared" si="128"/>
        <v/>
      </c>
      <c r="CE143" s="49"/>
    </row>
    <row r="144" spans="4:83">
      <c r="BL144" t="str">
        <f t="shared" si="128"/>
        <v/>
      </c>
    </row>
    <row r="145" spans="64:64">
      <c r="BL145" t="str">
        <f t="shared" si="128"/>
        <v/>
      </c>
    </row>
  </sheetData>
  <mergeCells count="2">
    <mergeCell ref="B3:C3"/>
    <mergeCell ref="G25:I25"/>
  </mergeCells>
  <phoneticPr fontId="2"/>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9FF31F-E8AD-4B8C-B72B-8FAC5B3A26D7}">
  <sheetPr codeName="Sheet14">
    <tabColor theme="5" tint="0.79998168889431442"/>
  </sheetPr>
  <dimension ref="B2:AH440"/>
  <sheetViews>
    <sheetView zoomScale="101" workbookViewId="0">
      <selection activeCell="B155" sqref="B155"/>
    </sheetView>
  </sheetViews>
  <sheetFormatPr defaultRowHeight="18.75"/>
  <cols>
    <col min="7" max="7" width="10.375" customWidth="1"/>
    <col min="25" max="25" width="10.625" customWidth="1"/>
  </cols>
  <sheetData>
    <row r="2" spans="2:30">
      <c r="B2" t="s">
        <v>1140</v>
      </c>
      <c r="T2" t="s">
        <v>1141</v>
      </c>
    </row>
    <row r="3" spans="2:30">
      <c r="B3" s="49"/>
      <c r="C3" s="147" t="s">
        <v>799</v>
      </c>
      <c r="D3" s="147" t="s">
        <v>800</v>
      </c>
      <c r="E3" s="147" t="s">
        <v>823</v>
      </c>
      <c r="F3" s="147" t="s">
        <v>824</v>
      </c>
      <c r="G3" s="147" t="s">
        <v>786</v>
      </c>
      <c r="J3" s="147" t="s">
        <v>1153</v>
      </c>
      <c r="K3" s="143">
        <v>3</v>
      </c>
      <c r="T3" s="49"/>
      <c r="U3" s="147" t="s">
        <v>799</v>
      </c>
      <c r="V3" s="147" t="s">
        <v>800</v>
      </c>
      <c r="W3" s="147" t="s">
        <v>823</v>
      </c>
      <c r="X3" s="147" t="s">
        <v>824</v>
      </c>
      <c r="Y3" s="147" t="s">
        <v>786</v>
      </c>
      <c r="AA3" t="s">
        <v>997</v>
      </c>
      <c r="AB3" t="s">
        <v>659</v>
      </c>
      <c r="AC3" t="s">
        <v>1135</v>
      </c>
      <c r="AD3" t="s">
        <v>659</v>
      </c>
    </row>
    <row r="4" spans="2:30" ht="19.5" thickBot="1">
      <c r="B4" s="73"/>
      <c r="C4" s="73" t="s">
        <v>789</v>
      </c>
      <c r="D4" s="73" t="s">
        <v>793</v>
      </c>
      <c r="E4" s="73" t="s">
        <v>789</v>
      </c>
      <c r="F4" s="73" t="s">
        <v>793</v>
      </c>
      <c r="G4" s="73"/>
      <c r="T4" s="73"/>
      <c r="U4" s="73" t="s">
        <v>789</v>
      </c>
      <c r="V4" s="73" t="s">
        <v>793</v>
      </c>
      <c r="W4" s="73" t="s">
        <v>789</v>
      </c>
      <c r="X4" s="73" t="s">
        <v>793</v>
      </c>
      <c r="Y4" s="73"/>
      <c r="AA4" cm="1">
        <f t="array" ref="AA4:AB4">LINEST(E5:E6,C5:C6,TRUE,FALSE)</f>
        <v>0</v>
      </c>
      <c r="AB4">
        <v>1.1000000000000001</v>
      </c>
      <c r="AC4" cm="1">
        <f t="array" ref="AC4:AD4">LINEST(F5:F6,C5:C6,TRUE,FALSE)</f>
        <v>0</v>
      </c>
      <c r="AD4">
        <v>3.7199999999999998</v>
      </c>
    </row>
    <row r="5" spans="2:30" ht="20.25" thickTop="1" thickBot="1">
      <c r="B5" s="209" t="s">
        <v>806</v>
      </c>
      <c r="C5" s="144">
        <f>'主翼(平面形)'!Z4</f>
        <v>0</v>
      </c>
      <c r="D5" s="144">
        <f>'主翼(平面形)'!AA4</f>
        <v>0</v>
      </c>
      <c r="E5" s="144">
        <f>'主翼(平面形)'!AB4</f>
        <v>1.1000000000000001</v>
      </c>
      <c r="F5" s="144">
        <f>'主翼(平面形)'!AC4</f>
        <v>3.7199999999999998</v>
      </c>
      <c r="G5" s="144" t="str">
        <f>'主翼(平面形)'!AD4</f>
        <v>主翼翼型1</v>
      </c>
      <c r="I5" s="270" t="s">
        <v>794</v>
      </c>
      <c r="J5" s="73" t="s">
        <v>1040</v>
      </c>
      <c r="K5" s="73" t="s">
        <v>1136</v>
      </c>
      <c r="L5" s="73" t="s">
        <v>1137</v>
      </c>
      <c r="M5" s="73" t="s">
        <v>1138</v>
      </c>
      <c r="N5" s="73" t="s">
        <v>1145</v>
      </c>
      <c r="O5" s="73" t="s">
        <v>1147</v>
      </c>
      <c r="P5" s="73" t="s">
        <v>1149</v>
      </c>
      <c r="Q5" s="73" t="s">
        <v>1151</v>
      </c>
      <c r="T5" s="209" t="s">
        <v>806</v>
      </c>
      <c r="U5" s="144">
        <v>0</v>
      </c>
      <c r="V5" s="144">
        <v>0</v>
      </c>
      <c r="W5" s="144">
        <v>1.1000000000000001</v>
      </c>
      <c r="X5" s="144">
        <v>3.7</v>
      </c>
      <c r="Y5" s="144" t="s">
        <v>1142</v>
      </c>
      <c r="AA5" cm="1">
        <f t="array" ref="AA5:AB5">LINEST(E6:E7,C6:C7,TRUE,FALSE)</f>
        <v>-7.8446601941747615E-2</v>
      </c>
      <c r="AB5">
        <v>1.278466019417476</v>
      </c>
      <c r="AC5" cm="1">
        <f t="array" ref="AC5:AD5">LINEST(F6:F7,C6:C7,TRUE,FALSE)</f>
        <v>-1.5533980582524287E-2</v>
      </c>
      <c r="AD5">
        <v>3.7553398058252423</v>
      </c>
    </row>
    <row r="6" spans="2:30" ht="19.5" thickTop="1">
      <c r="B6" s="147" t="s">
        <v>807</v>
      </c>
      <c r="C6" s="144">
        <f>'主翼(平面形)'!Z5</f>
        <v>2.2749999999999999</v>
      </c>
      <c r="D6" s="144">
        <f>'主翼(平面形)'!AA5</f>
        <v>0</v>
      </c>
      <c r="E6" s="144">
        <f>'主翼(平面形)'!AB5</f>
        <v>1.1000000000000001</v>
      </c>
      <c r="F6" s="144">
        <f>'主翼(平面形)'!AC5</f>
        <v>3.7199999999999998</v>
      </c>
      <c r="G6" s="144" t="str">
        <f>'主翼(平面形)'!AD5</f>
        <v>主翼翼型1</v>
      </c>
      <c r="I6" s="144" t="s">
        <v>557</v>
      </c>
      <c r="J6" s="210">
        <v>9.5</v>
      </c>
      <c r="K6" s="210">
        <v>10.5</v>
      </c>
      <c r="L6" s="210">
        <v>11.5</v>
      </c>
      <c r="M6" s="210">
        <v>9.5</v>
      </c>
      <c r="N6" s="210">
        <v>10.5</v>
      </c>
      <c r="O6" s="210">
        <v>12</v>
      </c>
      <c r="P6" s="210"/>
      <c r="Q6" s="210">
        <v>10.5</v>
      </c>
      <c r="T6" s="147" t="s">
        <v>807</v>
      </c>
      <c r="U6" s="144">
        <v>2.2749999999999999</v>
      </c>
      <c r="V6" s="144">
        <v>0</v>
      </c>
      <c r="W6" s="144">
        <v>1.1000000000000001</v>
      </c>
      <c r="X6" s="144">
        <v>3.7</v>
      </c>
      <c r="Y6" s="144" t="s">
        <v>1142</v>
      </c>
      <c r="AA6" cm="1">
        <f t="array" ref="AA6:AB6">LINEST(E7:E8,C7:C8,TRUE,FALSE)</f>
        <v>-5.6727272727272744E-2</v>
      </c>
      <c r="AB6">
        <v>1.1731272727272728</v>
      </c>
      <c r="AC6" cm="1">
        <f t="array" ref="AC6:AD6">LINEST(F7:F8,C7:C8,TRUE,FALSE)</f>
        <v>0</v>
      </c>
      <c r="AD6">
        <v>3.6799999999999997</v>
      </c>
    </row>
    <row r="7" spans="2:30">
      <c r="B7" s="147" t="s">
        <v>808</v>
      </c>
      <c r="C7" s="144">
        <f>'主翼(平面形)'!Z6</f>
        <v>4.8499999999999996</v>
      </c>
      <c r="D7" s="144">
        <f>'主翼(平面形)'!AA6</f>
        <v>0</v>
      </c>
      <c r="E7" s="144">
        <f>'主翼(平面形)'!AB6</f>
        <v>0.89800000000000002</v>
      </c>
      <c r="F7" s="144">
        <f>'主翼(平面形)'!AC6</f>
        <v>3.6799999999999997</v>
      </c>
      <c r="G7" s="144" t="str">
        <f>'主翼(平面形)'!AD6</f>
        <v>主翼翼型2</v>
      </c>
      <c r="I7" s="49" t="s">
        <v>787</v>
      </c>
      <c r="J7" s="143">
        <v>3</v>
      </c>
      <c r="K7" s="143">
        <v>3</v>
      </c>
      <c r="L7" s="143">
        <v>3</v>
      </c>
      <c r="M7" s="143">
        <v>3</v>
      </c>
      <c r="N7" s="143">
        <v>3</v>
      </c>
      <c r="O7" s="143">
        <v>3</v>
      </c>
      <c r="P7" s="143"/>
      <c r="Q7" s="143">
        <v>2</v>
      </c>
      <c r="T7" s="147" t="s">
        <v>808</v>
      </c>
      <c r="U7" s="144">
        <v>4.8499999999999996</v>
      </c>
      <c r="V7" s="144">
        <v>0</v>
      </c>
      <c r="W7" s="144">
        <v>0.9</v>
      </c>
      <c r="X7" s="144">
        <v>3.7</v>
      </c>
      <c r="Y7" s="144" t="s">
        <v>1143</v>
      </c>
      <c r="AA7" cm="1">
        <f t="array" ref="AA7:AB7">LINEST(E8:E9,C8:C9,TRUE,FALSE)</f>
        <v>-0.12315789473684195</v>
      </c>
      <c r="AB7">
        <v>1.6779999999999986</v>
      </c>
      <c r="AC7" cm="1">
        <f t="array" ref="AC7:AD7">LINEST(F8:F9,C8:C9,TRUE,FALSE)</f>
        <v>0</v>
      </c>
      <c r="AD7">
        <v>3.6799999999999997</v>
      </c>
    </row>
    <row r="8" spans="2:30">
      <c r="B8" s="147" t="s">
        <v>809</v>
      </c>
      <c r="C8" s="144">
        <f>'主翼(平面形)'!Z7</f>
        <v>7.6</v>
      </c>
      <c r="D8" s="144">
        <f>'主翼(平面形)'!AA7</f>
        <v>6</v>
      </c>
      <c r="E8" s="144">
        <f>'主翼(平面形)'!AB7</f>
        <v>0.74199999999999999</v>
      </c>
      <c r="F8" s="144">
        <f>'主翼(平面形)'!AC7</f>
        <v>3.6799999999999997</v>
      </c>
      <c r="G8" s="144" t="str">
        <f>'主翼(平面形)'!AD7</f>
        <v>主翼翼型2</v>
      </c>
      <c r="T8" s="147" t="s">
        <v>809</v>
      </c>
      <c r="U8" s="144">
        <v>7.6</v>
      </c>
      <c r="V8" s="144">
        <v>6</v>
      </c>
      <c r="W8" s="144">
        <v>0.8</v>
      </c>
      <c r="X8" s="144">
        <v>3.5</v>
      </c>
      <c r="Y8" s="144" t="s">
        <v>1143</v>
      </c>
      <c r="AA8" cm="1">
        <f t="array" ref="AA8:AB8">LINEST(E9:E10,C9:C10,TRUE,FALSE)</f>
        <v>-1.8348623853210986E-2</v>
      </c>
      <c r="AB8">
        <v>0.78188073394495405</v>
      </c>
      <c r="AC8" cm="1">
        <f t="array" ref="AC8:AD8">LINEST(F9:F10,C9:C10,TRUE,FALSE)</f>
        <v>-0.39999999999999997</v>
      </c>
      <c r="AD8">
        <v>7.1</v>
      </c>
    </row>
    <row r="9" spans="2:30">
      <c r="B9" s="147" t="s">
        <v>810</v>
      </c>
      <c r="C9" s="144">
        <f>'主翼(平面形)'!Z8</f>
        <v>8.5500000000000007</v>
      </c>
      <c r="D9" s="144">
        <f>'主翼(平面形)'!AA8</f>
        <v>6</v>
      </c>
      <c r="E9" s="144">
        <f>'主翼(平面形)'!AB8</f>
        <v>0.625</v>
      </c>
      <c r="F9" s="144">
        <f>'主翼(平面形)'!AC8</f>
        <v>3.6799999999999997</v>
      </c>
      <c r="G9" s="144" t="str">
        <f>'主翼(平面形)'!AD8</f>
        <v>主翼翼型2</v>
      </c>
      <c r="T9" s="147" t="s">
        <v>810</v>
      </c>
      <c r="U9" s="144">
        <v>8.5500000000000007</v>
      </c>
      <c r="V9" s="144">
        <v>6</v>
      </c>
      <c r="W9" s="144">
        <v>0.7</v>
      </c>
      <c r="X9" s="144">
        <v>3.5</v>
      </c>
      <c r="Y9" s="144" t="s">
        <v>1143</v>
      </c>
      <c r="AA9" cm="1">
        <f t="array" ref="AA9:AB9">LINEST(E10:E11,C10:C11,TRUE,FALSE)</f>
        <v>-0.16108108108108135</v>
      </c>
      <c r="AB9">
        <v>2.3911891891891925</v>
      </c>
      <c r="AC9" cm="1">
        <f t="array" ref="AC9:AD9">LINEST(F10:F11,C10:C11,TRUE,FALSE)</f>
        <v>-0.63783783783783843</v>
      </c>
      <c r="AD9">
        <v>9.7816216216216283</v>
      </c>
    </row>
    <row r="10" spans="2:30">
      <c r="B10" s="147" t="s">
        <v>811</v>
      </c>
      <c r="C10" s="144">
        <f>'主翼(平面形)'!Z9</f>
        <v>11.275</v>
      </c>
      <c r="D10" s="144">
        <f>'主翼(平面形)'!AA9</f>
        <v>6</v>
      </c>
      <c r="E10" s="144">
        <f>'主翼(平面形)'!AB9</f>
        <v>0.57500000000000007</v>
      </c>
      <c r="F10" s="144">
        <f>'主翼(平面形)'!AC9</f>
        <v>2.59</v>
      </c>
      <c r="G10" s="144" t="str">
        <f>'主翼(平面形)'!AD9</f>
        <v>主翼翼型3</v>
      </c>
      <c r="I10" s="147" t="s">
        <v>1157</v>
      </c>
      <c r="J10" s="143">
        <v>0.38</v>
      </c>
      <c r="T10" s="147" t="s">
        <v>811</v>
      </c>
      <c r="U10" s="144">
        <v>11.275</v>
      </c>
      <c r="V10" s="144">
        <v>6</v>
      </c>
      <c r="W10" s="144">
        <v>0.55000000000000004</v>
      </c>
      <c r="X10" s="144">
        <v>2.9</v>
      </c>
      <c r="Y10" s="144" t="s">
        <v>1144</v>
      </c>
      <c r="AA10" cm="1">
        <f t="array" ref="AA10:AB10">LINEST(E11:E12,C11:C12,TRUE,FALSE)</f>
        <v>-0.25333333333333274</v>
      </c>
      <c r="AB10">
        <v>3.5166666666666591</v>
      </c>
      <c r="AC10" cm="1">
        <f t="array" ref="AC10:AD10">LINEST(F11:F12,C11:C12,TRUE,FALSE)</f>
        <v>0</v>
      </c>
      <c r="AD10">
        <v>2</v>
      </c>
    </row>
    <row r="11" spans="2:30">
      <c r="B11" s="147" t="s">
        <v>812</v>
      </c>
      <c r="C11" s="144">
        <f>'主翼(平面形)'!Z10</f>
        <v>12.2</v>
      </c>
      <c r="D11" s="144">
        <f>'主翼(平面形)'!AA10</f>
        <v>6</v>
      </c>
      <c r="E11" s="144">
        <f>'主翼(平面形)'!AB10</f>
        <v>0.42599999999999999</v>
      </c>
      <c r="F11" s="144">
        <f>'主翼(平面形)'!AC10</f>
        <v>2</v>
      </c>
      <c r="G11" s="144" t="str">
        <f>'主翼(平面形)'!AD10</f>
        <v>主翼翼型3</v>
      </c>
      <c r="T11" s="147" t="s">
        <v>812</v>
      </c>
      <c r="U11" s="144">
        <v>12.2</v>
      </c>
      <c r="V11" s="144">
        <v>6</v>
      </c>
      <c r="W11" s="144">
        <v>0.45</v>
      </c>
      <c r="X11" s="144">
        <v>2.9</v>
      </c>
      <c r="Y11" s="144" t="s">
        <v>1144</v>
      </c>
      <c r="AA11" cm="1">
        <f t="array" ref="AA11:AB11">LINEST(E12:E13,C12:C13,TRUE,FALSE)</f>
        <v>-0.3333333333333337</v>
      </c>
      <c r="AB11">
        <v>4.5166666666666719</v>
      </c>
      <c r="AC11" cm="1">
        <f t="array" ref="AC11:AD11">LINEST(F12:F13,C12:C13,TRUE,FALSE)</f>
        <v>-0.66666666666666763</v>
      </c>
      <c r="AD11">
        <v>10.333333333333345</v>
      </c>
    </row>
    <row r="12" spans="2:30">
      <c r="B12" s="147" t="s">
        <v>813</v>
      </c>
      <c r="C12" s="144">
        <f>'主翼(平面形)'!Z11</f>
        <v>12.5</v>
      </c>
      <c r="D12" s="144">
        <f>'主翼(平面形)'!AA11</f>
        <v>6</v>
      </c>
      <c r="E12" s="144">
        <f>'主翼(平面形)'!AB11</f>
        <v>0.35</v>
      </c>
      <c r="F12" s="144">
        <f>'主翼(平面形)'!AC11</f>
        <v>2</v>
      </c>
      <c r="G12" s="144" t="str">
        <f>'主翼(平面形)'!AD11</f>
        <v>主翼翼型3</v>
      </c>
      <c r="T12" s="147" t="s">
        <v>813</v>
      </c>
      <c r="U12" s="144">
        <v>12.5</v>
      </c>
      <c r="V12" s="144">
        <v>6</v>
      </c>
      <c r="W12" s="144">
        <v>0.35</v>
      </c>
      <c r="X12" s="144">
        <v>2.9</v>
      </c>
      <c r="Y12" s="144" t="s">
        <v>1144</v>
      </c>
      <c r="AA12" cm="1">
        <f t="array" ref="AA12:AB12">LINEST(E13:E14,C13:C14,TRUE,FALSE)</f>
        <v>-0.16666666666666635</v>
      </c>
      <c r="AB12">
        <v>2.358333333333329</v>
      </c>
      <c r="AC12" cm="1">
        <f t="array" ref="AC12:AD12">LINEST(F13:F14,C13:C14,TRUE,FALSE)</f>
        <v>0</v>
      </c>
      <c r="AD12">
        <v>1.7</v>
      </c>
    </row>
    <row r="13" spans="2:30">
      <c r="B13" s="147" t="s">
        <v>814</v>
      </c>
      <c r="C13" s="144">
        <f>'主翼(平面形)'!Z12</f>
        <v>12.95</v>
      </c>
      <c r="D13" s="144">
        <f>'主翼(平面形)'!AA12</f>
        <v>12</v>
      </c>
      <c r="E13" s="144">
        <f>'主翼(平面形)'!AB12</f>
        <v>0.2</v>
      </c>
      <c r="F13" s="144">
        <f>'主翼(平面形)'!AC12</f>
        <v>1.7</v>
      </c>
      <c r="G13" s="144" t="str">
        <f>'主翼(平面形)'!AD12</f>
        <v>主翼翼型3</v>
      </c>
      <c r="T13" s="147" t="s">
        <v>814</v>
      </c>
      <c r="U13" s="144">
        <v>12.95</v>
      </c>
      <c r="V13" s="144">
        <v>12</v>
      </c>
      <c r="W13" s="144">
        <v>0.2</v>
      </c>
      <c r="X13" s="144">
        <v>1.7</v>
      </c>
      <c r="Y13" s="144" t="s">
        <v>1144</v>
      </c>
    </row>
    <row r="14" spans="2:30">
      <c r="B14" s="147" t="s">
        <v>780</v>
      </c>
      <c r="C14" s="144">
        <f>'主翼(平面形)'!Z13</f>
        <v>13.25</v>
      </c>
      <c r="D14" s="144">
        <f>'主翼(平面形)'!AA13</f>
        <v>12</v>
      </c>
      <c r="E14" s="144">
        <f>'主翼(平面形)'!AB13</f>
        <v>0.15</v>
      </c>
      <c r="F14" s="144">
        <f>'主翼(平面形)'!AC13</f>
        <v>1.7</v>
      </c>
      <c r="G14" s="144" t="str">
        <f>'主翼(平面形)'!AD13</f>
        <v>主翼翼型3</v>
      </c>
      <c r="T14" s="147" t="s">
        <v>780</v>
      </c>
      <c r="U14" s="144">
        <v>13.25</v>
      </c>
      <c r="V14" s="144">
        <v>12</v>
      </c>
      <c r="W14" s="144">
        <v>0.15</v>
      </c>
      <c r="X14" s="144">
        <v>1.7</v>
      </c>
      <c r="Y14" s="144" t="s">
        <v>1144</v>
      </c>
    </row>
    <row r="44" spans="2:34">
      <c r="B44" s="49"/>
      <c r="C44" s="49" t="s">
        <v>1040</v>
      </c>
      <c r="D44" s="49"/>
      <c r="E44" s="49"/>
      <c r="F44" s="49"/>
      <c r="G44" s="49" t="s">
        <v>1041</v>
      </c>
      <c r="H44" s="49"/>
      <c r="I44" s="49"/>
      <c r="J44" s="49"/>
      <c r="K44" s="49" t="s">
        <v>1042</v>
      </c>
      <c r="L44" s="49"/>
      <c r="M44" s="49"/>
      <c r="N44" s="49"/>
      <c r="O44" s="49" t="s">
        <v>1139</v>
      </c>
      <c r="P44" s="49"/>
      <c r="Q44" s="49"/>
      <c r="R44" s="49"/>
      <c r="S44" s="49" t="s">
        <v>1146</v>
      </c>
      <c r="T44" s="49"/>
      <c r="U44" s="49"/>
      <c r="V44" s="49"/>
      <c r="W44" s="49" t="s">
        <v>1148</v>
      </c>
      <c r="X44" s="49"/>
      <c r="Y44" s="49"/>
      <c r="Z44" s="49"/>
      <c r="AA44" s="49" t="s">
        <v>1150</v>
      </c>
      <c r="AB44" s="49"/>
      <c r="AC44" s="49"/>
      <c r="AD44" s="49"/>
      <c r="AE44" s="49" t="s">
        <v>1152</v>
      </c>
      <c r="AF44" s="49"/>
      <c r="AG44" s="49"/>
      <c r="AH44" s="49"/>
    </row>
    <row r="45" spans="2:34" ht="19.5" thickBot="1">
      <c r="B45" s="73" t="s">
        <v>565</v>
      </c>
      <c r="C45" s="73" t="s">
        <v>566</v>
      </c>
      <c r="D45" s="73" t="s">
        <v>597</v>
      </c>
      <c r="E45" s="73" t="s">
        <v>1134</v>
      </c>
      <c r="F45" s="73" t="s">
        <v>567</v>
      </c>
      <c r="G45" s="73" t="s">
        <v>566</v>
      </c>
      <c r="H45" s="73" t="s">
        <v>597</v>
      </c>
      <c r="I45" s="73" t="s">
        <v>1134</v>
      </c>
      <c r="J45" s="73" t="s">
        <v>567</v>
      </c>
      <c r="K45" s="73" t="s">
        <v>566</v>
      </c>
      <c r="L45" s="73" t="s">
        <v>597</v>
      </c>
      <c r="M45" s="73" t="s">
        <v>1134</v>
      </c>
      <c r="N45" s="73" t="s">
        <v>567</v>
      </c>
      <c r="O45" s="73" t="s">
        <v>566</v>
      </c>
      <c r="P45" s="73" t="s">
        <v>597</v>
      </c>
      <c r="Q45" s="73" t="s">
        <v>1134</v>
      </c>
      <c r="R45" s="73" t="s">
        <v>567</v>
      </c>
      <c r="S45" s="73" t="s">
        <v>566</v>
      </c>
      <c r="T45" s="73" t="s">
        <v>597</v>
      </c>
      <c r="U45" s="73" t="s">
        <v>1134</v>
      </c>
      <c r="V45" s="73" t="s">
        <v>567</v>
      </c>
      <c r="W45" s="73" t="s">
        <v>566</v>
      </c>
      <c r="X45" s="73" t="s">
        <v>597</v>
      </c>
      <c r="Y45" s="73" t="s">
        <v>1134</v>
      </c>
      <c r="Z45" s="73" t="s">
        <v>567</v>
      </c>
      <c r="AA45" s="73" t="s">
        <v>566</v>
      </c>
      <c r="AB45" s="73" t="s">
        <v>597</v>
      </c>
      <c r="AC45" s="73" t="s">
        <v>1134</v>
      </c>
      <c r="AD45" s="73" t="s">
        <v>567</v>
      </c>
      <c r="AE45" s="73" t="s">
        <v>566</v>
      </c>
      <c r="AF45" s="73" t="s">
        <v>597</v>
      </c>
      <c r="AG45" s="73" t="s">
        <v>1134</v>
      </c>
      <c r="AH45" s="73" t="s">
        <v>567</v>
      </c>
    </row>
    <row r="46" spans="2:34" ht="19.5" thickTop="1">
      <c r="B46" s="144">
        <v>-5</v>
      </c>
      <c r="C46" s="144">
        <v>0.38749858875227633</v>
      </c>
      <c r="D46" s="144">
        <v>1.1097963634641408E-2</v>
      </c>
      <c r="E46" s="144">
        <v>34.916188366551353</v>
      </c>
      <c r="F46" s="144">
        <v>-7.4330321828705873E-2</v>
      </c>
      <c r="G46" s="144">
        <v>0.38284538201161311</v>
      </c>
      <c r="H46" s="144">
        <v>1.0726282020564365E-2</v>
      </c>
      <c r="I46" s="144">
        <v>35.692272613905189</v>
      </c>
      <c r="J46" s="144">
        <v>-7.4244488381370571E-2</v>
      </c>
      <c r="K46" s="144">
        <v>0.37767057219449601</v>
      </c>
      <c r="L46" s="144">
        <v>1.0413870211208306E-2</v>
      </c>
      <c r="M46" s="144">
        <v>36.266110920800067</v>
      </c>
      <c r="N46" s="144">
        <v>-7.4256115036350337E-2</v>
      </c>
      <c r="O46" s="144">
        <v>0.38335835786351269</v>
      </c>
      <c r="P46" s="144">
        <v>1.1093096083199718E-2</v>
      </c>
      <c r="Q46" s="144">
        <v>34.558283367264941</v>
      </c>
      <c r="R46" s="144">
        <v>-7.4880787324899542E-2</v>
      </c>
      <c r="S46" s="144">
        <v>0.38284538201161311</v>
      </c>
      <c r="T46" s="144">
        <v>1.0726282020564365E-2</v>
      </c>
      <c r="U46" s="144">
        <v>35.692272613905189</v>
      </c>
      <c r="V46" s="144">
        <v>-7.4244488381370571E-2</v>
      </c>
      <c r="W46" s="144">
        <v>0.42220986894135343</v>
      </c>
      <c r="X46" s="144">
        <v>1.0408939745146758E-2</v>
      </c>
      <c r="Y46" s="144">
        <v>40.562235854829666</v>
      </c>
      <c r="Z46" s="144">
        <v>-6.5728336976698776E-2</v>
      </c>
      <c r="AA46" s="144"/>
      <c r="AB46" s="144"/>
      <c r="AC46" s="144"/>
      <c r="AD46" s="144"/>
      <c r="AE46" s="144"/>
      <c r="AF46" s="144"/>
      <c r="AG46" s="144"/>
      <c r="AH46" s="144"/>
    </row>
    <row r="47" spans="2:34">
      <c r="B47" s="49">
        <v>-4</v>
      </c>
      <c r="C47" s="49">
        <v>0.50015155644609532</v>
      </c>
      <c r="D47" s="49">
        <v>1.0849159633787755E-2</v>
      </c>
      <c r="E47" s="49">
        <v>46.100488270857703</v>
      </c>
      <c r="F47" s="49">
        <v>-5.7757764996159318E-2</v>
      </c>
      <c r="G47" s="49">
        <v>0.49671218919103033</v>
      </c>
      <c r="H47" s="49">
        <v>1.0524180654839085E-2</v>
      </c>
      <c r="I47" s="49">
        <v>47.197231355263646</v>
      </c>
      <c r="J47" s="49">
        <v>-5.7144259686747891E-2</v>
      </c>
      <c r="K47" s="49">
        <v>0.49299082798178917</v>
      </c>
      <c r="L47" s="49">
        <v>1.0251876395319196E-2</v>
      </c>
      <c r="M47" s="49">
        <v>48.087863038114563</v>
      </c>
      <c r="N47" s="49">
        <v>-5.6529905552235193E-2</v>
      </c>
      <c r="O47" s="49">
        <v>0.49602740500261144</v>
      </c>
      <c r="P47" s="49">
        <v>1.0832864030365002E-2</v>
      </c>
      <c r="Q47" s="49">
        <v>45.789128674764534</v>
      </c>
      <c r="R47" s="49">
        <v>-5.8297242894123608E-2</v>
      </c>
      <c r="S47" s="49">
        <v>0.49671218919103033</v>
      </c>
      <c r="T47" s="49">
        <v>1.0524180654839085E-2</v>
      </c>
      <c r="U47" s="49">
        <v>47.197231355263646</v>
      </c>
      <c r="V47" s="49">
        <v>-5.7144259686747891E-2</v>
      </c>
      <c r="W47" s="49">
        <v>0.53808284201360423</v>
      </c>
      <c r="X47" s="49">
        <v>1.0869664502884825E-2</v>
      </c>
      <c r="Y47" s="49">
        <v>49.503169290164955</v>
      </c>
      <c r="Z47" s="49">
        <v>-4.7947684154790726E-2</v>
      </c>
      <c r="AA47" s="49"/>
      <c r="AB47" s="49"/>
      <c r="AC47" s="49"/>
      <c r="AD47" s="49"/>
      <c r="AE47" s="49"/>
      <c r="AF47" s="49"/>
      <c r="AG47" s="49"/>
      <c r="AH47" s="49"/>
    </row>
    <row r="48" spans="2:34">
      <c r="B48" s="49">
        <v>-3</v>
      </c>
      <c r="C48" s="49">
        <v>0.61280417727596259</v>
      </c>
      <c r="D48" s="49">
        <v>1.0990263524104963E-2</v>
      </c>
      <c r="E48" s="49">
        <v>55.758824702601373</v>
      </c>
      <c r="F48" s="49">
        <v>-4.1814141764980564E-2</v>
      </c>
      <c r="G48" s="49">
        <v>0.61036197360281796</v>
      </c>
      <c r="H48" s="49">
        <v>1.0710490256118583E-2</v>
      </c>
      <c r="I48" s="49">
        <v>56.98730487655655</v>
      </c>
      <c r="J48" s="49">
        <v>-4.0780637277623773E-2</v>
      </c>
      <c r="K48" s="49">
        <v>0.60781944824873102</v>
      </c>
      <c r="L48" s="49">
        <v>1.0479657145880502E-2</v>
      </c>
      <c r="M48" s="49">
        <v>57.999936428040655</v>
      </c>
      <c r="N48" s="49">
        <v>-3.9656402762670635E-2</v>
      </c>
      <c r="O48" s="49">
        <v>0.60867012238430529</v>
      </c>
      <c r="P48" s="49">
        <v>1.0962364795188164E-2</v>
      </c>
      <c r="Q48" s="49">
        <v>55.523615000613354</v>
      </c>
      <c r="R48" s="49">
        <v>-4.2338687941276591E-2</v>
      </c>
      <c r="S48" s="49">
        <v>0.61036197360281796</v>
      </c>
      <c r="T48" s="49">
        <v>1.0710490256118583E-2</v>
      </c>
      <c r="U48" s="49">
        <v>56.98730487655655</v>
      </c>
      <c r="V48" s="49">
        <v>-4.0780637277623773E-2</v>
      </c>
      <c r="W48" s="49">
        <v>0.65320665744349193</v>
      </c>
      <c r="X48" s="49">
        <v>1.1766643204475213E-2</v>
      </c>
      <c r="Y48" s="49">
        <v>55.513424354964506</v>
      </c>
      <c r="Z48" s="49">
        <v>-3.1691745716993035E-2</v>
      </c>
      <c r="AA48" s="49"/>
      <c r="AB48" s="49"/>
      <c r="AC48" s="49"/>
      <c r="AD48" s="49"/>
      <c r="AE48" s="49"/>
      <c r="AF48" s="49"/>
      <c r="AG48" s="49"/>
      <c r="AH48" s="49"/>
    </row>
    <row r="49" spans="2:34">
      <c r="B49" s="49">
        <v>-2</v>
      </c>
      <c r="C49" s="49">
        <v>0.72554723905161755</v>
      </c>
      <c r="D49" s="49">
        <v>1.1525991599841582E-2</v>
      </c>
      <c r="E49" s="49">
        <v>62.948791239930266</v>
      </c>
      <c r="F49" s="49">
        <v>-2.6909539060445162E-2</v>
      </c>
      <c r="G49" s="49">
        <v>0.72379704615925311</v>
      </c>
      <c r="H49" s="49">
        <v>1.128969973369467E-2</v>
      </c>
      <c r="I49" s="49">
        <v>64.111275165188403</v>
      </c>
      <c r="J49" s="49">
        <v>-2.5689168699845843E-2</v>
      </c>
      <c r="K49" s="49">
        <v>0.72202727832788527</v>
      </c>
      <c r="L49" s="49">
        <v>1.1101027554562153E-2</v>
      </c>
      <c r="M49" s="49">
        <v>65.041481500616229</v>
      </c>
      <c r="N49" s="49">
        <v>-2.4324232725920537E-2</v>
      </c>
      <c r="O49" s="49">
        <v>0.72140103306750092</v>
      </c>
      <c r="P49" s="49">
        <v>1.1487297417976217E-2</v>
      </c>
      <c r="Q49" s="49">
        <v>62.79989163844548</v>
      </c>
      <c r="R49" s="49">
        <v>-2.7421678723769615E-2</v>
      </c>
      <c r="S49" s="49">
        <v>0.72379704615925311</v>
      </c>
      <c r="T49" s="49">
        <v>1.128969973369467E-2</v>
      </c>
      <c r="U49" s="49">
        <v>64.111275165188403</v>
      </c>
      <c r="V49" s="49">
        <v>-2.5689168699845843E-2</v>
      </c>
      <c r="W49" s="49">
        <v>0.76696749608764636</v>
      </c>
      <c r="X49" s="49">
        <v>1.3061943783747441E-2</v>
      </c>
      <c r="Y49" s="49">
        <v>58.717715279249596</v>
      </c>
      <c r="Z49" s="49">
        <v>-1.7897203962205975E-2</v>
      </c>
      <c r="AA49" s="49"/>
      <c r="AB49" s="49"/>
      <c r="AC49" s="49"/>
      <c r="AD49" s="49"/>
      <c r="AE49" s="49"/>
      <c r="AF49" s="49"/>
      <c r="AG49" s="49"/>
      <c r="AH49" s="49"/>
    </row>
    <row r="50" spans="2:34">
      <c r="B50" s="49">
        <v>-1</v>
      </c>
      <c r="C50" s="49">
        <v>0.83771866474464052</v>
      </c>
      <c r="D50" s="49">
        <v>1.2447895397306645E-2</v>
      </c>
      <c r="E50" s="49">
        <v>67.298016090808247</v>
      </c>
      <c r="F50" s="49">
        <v>-1.3381281233625272E-2</v>
      </c>
      <c r="G50" s="49">
        <v>0.8362658789038222</v>
      </c>
      <c r="H50" s="49">
        <v>1.225093071202623E-2</v>
      </c>
      <c r="I50" s="49">
        <v>68.261416096566023</v>
      </c>
      <c r="J50" s="49">
        <v>-1.231837088540518E-2</v>
      </c>
      <c r="K50" s="49">
        <v>0.83474124972964103</v>
      </c>
      <c r="L50" s="49">
        <v>1.2101451404009662E-2</v>
      </c>
      <c r="M50" s="49">
        <v>68.978606107781431</v>
      </c>
      <c r="N50" s="49">
        <v>-1.1110047121800982E-2</v>
      </c>
      <c r="O50" s="49">
        <v>0.8335928544346356</v>
      </c>
      <c r="P50" s="49">
        <v>1.2398768555757552E-2</v>
      </c>
      <c r="Q50" s="49">
        <v>67.231906998340122</v>
      </c>
      <c r="R50" s="49">
        <v>-1.3888622044309722E-2</v>
      </c>
      <c r="S50" s="49">
        <v>0.8362658789038222</v>
      </c>
      <c r="T50" s="49">
        <v>1.225093071202623E-2</v>
      </c>
      <c r="U50" s="49">
        <v>68.261416096566023</v>
      </c>
      <c r="V50" s="49">
        <v>-1.231837088540518E-2</v>
      </c>
      <c r="W50" s="49">
        <v>0.87773796692470463</v>
      </c>
      <c r="X50" s="49">
        <v>1.4693448372859172E-2</v>
      </c>
      <c r="Y50" s="49">
        <v>59.736689758001788</v>
      </c>
      <c r="Z50" s="49">
        <v>-7.3501588721350489E-3</v>
      </c>
      <c r="AA50" s="49"/>
      <c r="AB50" s="49"/>
      <c r="AC50" s="49"/>
      <c r="AD50" s="49"/>
      <c r="AE50" s="49"/>
      <c r="AF50" s="49"/>
      <c r="AG50" s="49"/>
      <c r="AH50" s="49"/>
    </row>
    <row r="51" spans="2:34">
      <c r="B51" s="49">
        <v>0</v>
      </c>
      <c r="C51" s="49">
        <v>0.94779148015320713</v>
      </c>
      <c r="D51" s="49">
        <v>1.3742851724897072E-2</v>
      </c>
      <c r="E51" s="49">
        <v>68.96614320855636</v>
      </c>
      <c r="F51" s="49">
        <v>-1.5141951767246142E-3</v>
      </c>
      <c r="G51" s="49">
        <v>0.9461708444317446</v>
      </c>
      <c r="H51" s="49">
        <v>1.3576749646939633E-2</v>
      </c>
      <c r="I51" s="49">
        <v>69.690527485348682</v>
      </c>
      <c r="J51" s="49">
        <v>-1.0411261988274377E-3</v>
      </c>
      <c r="K51" s="49">
        <v>0.94428237807405047</v>
      </c>
      <c r="L51" s="49">
        <v>1.3457553877427975E-2</v>
      </c>
      <c r="M51" s="49">
        <v>70.167460347892217</v>
      </c>
      <c r="N51" s="49">
        <v>-4.7757237287682317E-4</v>
      </c>
      <c r="O51" s="49">
        <v>0.94375259330665162</v>
      </c>
      <c r="P51" s="49">
        <v>1.3683365753424671E-2</v>
      </c>
      <c r="Q51" s="49">
        <v>68.970793466545274</v>
      </c>
      <c r="R51" s="49">
        <v>-2.0270021250042907E-3</v>
      </c>
      <c r="S51" s="49">
        <v>0.9461708444317446</v>
      </c>
      <c r="T51" s="49">
        <v>1.3576749646939633E-2</v>
      </c>
      <c r="U51" s="49">
        <v>69.690527485348682</v>
      </c>
      <c r="V51" s="49">
        <v>-1.0411261988274377E-3</v>
      </c>
      <c r="W51" s="49">
        <v>0.9832071973213331</v>
      </c>
      <c r="X51" s="49">
        <v>1.6599305048076961E-2</v>
      </c>
      <c r="Y51" s="49">
        <v>59.231828951492062</v>
      </c>
      <c r="Z51" s="49">
        <v>-5.8280773099952227E-4</v>
      </c>
      <c r="AA51" s="49"/>
      <c r="AB51" s="49"/>
      <c r="AC51" s="49"/>
      <c r="AD51" s="49"/>
      <c r="AE51" s="49"/>
      <c r="AF51" s="49"/>
      <c r="AG51" s="49"/>
      <c r="AH51" s="49"/>
    </row>
    <row r="52" spans="2:34">
      <c r="B52" s="49">
        <v>1</v>
      </c>
      <c r="C52" s="49">
        <v>1.0535113918494736</v>
      </c>
      <c r="D52" s="49">
        <v>1.5394039183735431E-2</v>
      </c>
      <c r="E52" s="49">
        <v>68.436320011615962</v>
      </c>
      <c r="F52" s="49">
        <v>8.4684663374198516E-3</v>
      </c>
      <c r="G52" s="49">
        <v>1.0512446555832653</v>
      </c>
      <c r="H52" s="49">
        <v>1.5244643889954144E-2</v>
      </c>
      <c r="I52" s="49">
        <v>68.958295331254703</v>
      </c>
      <c r="J52" s="49">
        <v>7.8685324309105947E-3</v>
      </c>
      <c r="K52" s="49">
        <v>1.0483912310690338</v>
      </c>
      <c r="L52" s="49">
        <v>1.513965612795631E-2</v>
      </c>
      <c r="M52" s="49">
        <v>69.248021369066294</v>
      </c>
      <c r="N52" s="49">
        <v>7.2605235029420184E-3</v>
      </c>
      <c r="O52" s="49">
        <v>1.0496538280105694</v>
      </c>
      <c r="P52" s="49">
        <v>1.5324791758653391E-2</v>
      </c>
      <c r="Q52" s="49">
        <v>68.493839560192754</v>
      </c>
      <c r="R52" s="49">
        <v>7.9387170741944141E-3</v>
      </c>
      <c r="S52" s="49">
        <v>1.0512446555832653</v>
      </c>
      <c r="T52" s="49">
        <v>1.5244643889954144E-2</v>
      </c>
      <c r="U52" s="49">
        <v>68.958295331254703</v>
      </c>
      <c r="V52" s="49">
        <v>7.8685324309105947E-3</v>
      </c>
      <c r="W52" s="49">
        <v>1.0810081098214603</v>
      </c>
      <c r="X52" s="49">
        <v>1.8729327581463642E-2</v>
      </c>
      <c r="Y52" s="49">
        <v>57.717400964855287</v>
      </c>
      <c r="Z52" s="49">
        <v>2.2485190221972775E-3</v>
      </c>
      <c r="AA52" s="49"/>
      <c r="AB52" s="49"/>
      <c r="AC52" s="49"/>
      <c r="AD52" s="49"/>
      <c r="AE52" s="49"/>
      <c r="AF52" s="49"/>
      <c r="AG52" s="49"/>
      <c r="AH52" s="49"/>
    </row>
    <row r="53" spans="2:34">
      <c r="B53" s="49">
        <v>2</v>
      </c>
      <c r="C53" s="49">
        <v>1.1523111359863882</v>
      </c>
      <c r="D53" s="49">
        <v>1.7388164804563597E-2</v>
      </c>
      <c r="E53" s="49">
        <v>66.269853600879102</v>
      </c>
      <c r="F53" s="49">
        <v>1.6435677736574904E-2</v>
      </c>
      <c r="G53" s="49">
        <v>1.1489013372692345</v>
      </c>
      <c r="H53" s="49">
        <v>1.7253018411008798E-2</v>
      </c>
      <c r="I53" s="49">
        <v>66.591323900526532</v>
      </c>
      <c r="J53" s="49">
        <v>1.4268396279930193E-2</v>
      </c>
      <c r="K53" s="49">
        <v>1.1446065234411233</v>
      </c>
      <c r="L53" s="49">
        <v>1.7138763500328922E-2</v>
      </c>
      <c r="M53" s="49">
        <v>66.78466176507753</v>
      </c>
      <c r="N53" s="49">
        <v>1.1981856271654172E-2</v>
      </c>
      <c r="O53" s="49">
        <v>1.1486516036171419</v>
      </c>
      <c r="P53" s="49">
        <v>1.7325920964290753E-2</v>
      </c>
      <c r="Q53" s="49">
        <v>66.296712652940499</v>
      </c>
      <c r="R53" s="49">
        <v>1.5869984770713431E-2</v>
      </c>
      <c r="S53" s="49">
        <v>1.1489013372692345</v>
      </c>
      <c r="T53" s="49">
        <v>1.7253018411008798E-2</v>
      </c>
      <c r="U53" s="49">
        <v>66.591323900526532</v>
      </c>
      <c r="V53" s="49">
        <v>1.4268396279930193E-2</v>
      </c>
      <c r="W53" s="49">
        <v>1.1689949072603625</v>
      </c>
      <c r="X53" s="49">
        <v>2.1085664035987453E-2</v>
      </c>
      <c r="Y53" s="49">
        <v>55.440269998858383</v>
      </c>
      <c r="Z53" s="49">
        <v>1.3619811564685152E-3</v>
      </c>
      <c r="AA53" s="49"/>
      <c r="AB53" s="49"/>
      <c r="AC53" s="49"/>
      <c r="AD53" s="49"/>
      <c r="AE53" s="49"/>
      <c r="AF53" s="49"/>
      <c r="AG53" s="49"/>
      <c r="AH53" s="49"/>
    </row>
    <row r="54" spans="2:34">
      <c r="B54" s="49">
        <v>3</v>
      </c>
      <c r="C54" s="49">
        <v>1.2413761999594557</v>
      </c>
      <c r="D54" s="49">
        <v>1.9788791291199259E-2</v>
      </c>
      <c r="E54" s="49">
        <v>62.731279626539767</v>
      </c>
      <c r="F54" s="49">
        <v>2.23350390020093E-2</v>
      </c>
      <c r="G54" s="49">
        <v>1.2367657027996857</v>
      </c>
      <c r="H54" s="49">
        <v>1.960391622257468E-2</v>
      </c>
      <c r="I54" s="49">
        <v>63.087685580675029</v>
      </c>
      <c r="J54" s="49">
        <v>1.8177099674496534E-2</v>
      </c>
      <c r="K54" s="49">
        <v>1.230774828821442</v>
      </c>
      <c r="L54" s="49">
        <v>1.9449242888637815E-2</v>
      </c>
      <c r="M54" s="49">
        <v>63.281374800479078</v>
      </c>
      <c r="N54" s="49">
        <v>1.3771980511685844E-2</v>
      </c>
      <c r="O54" s="49">
        <v>1.2382094037991094</v>
      </c>
      <c r="P54" s="49">
        <v>1.9694549546812143E-2</v>
      </c>
      <c r="Q54" s="49">
        <v>62.870663827877813</v>
      </c>
      <c r="R54" s="49">
        <v>2.1743821566932126E-2</v>
      </c>
      <c r="S54" s="49">
        <v>1.2367657027996857</v>
      </c>
      <c r="T54" s="49">
        <v>1.960391622257468E-2</v>
      </c>
      <c r="U54" s="49">
        <v>63.087685580675029</v>
      </c>
      <c r="V54" s="49">
        <v>1.8177099674496534E-2</v>
      </c>
      <c r="W54" s="49">
        <v>1.2457640630183142</v>
      </c>
      <c r="X54" s="49">
        <v>2.3668178622824811E-2</v>
      </c>
      <c r="Y54" s="49">
        <v>52.634555572305018</v>
      </c>
      <c r="Z54" s="49">
        <v>-2.6947626897467812E-3</v>
      </c>
      <c r="AA54" s="49"/>
      <c r="AB54" s="49"/>
      <c r="AC54" s="49"/>
      <c r="AD54" s="49"/>
      <c r="AE54" s="49"/>
      <c r="AF54" s="49"/>
      <c r="AG54" s="49"/>
      <c r="AH54" s="49"/>
    </row>
    <row r="55" spans="2:34">
      <c r="B55" s="49">
        <v>4</v>
      </c>
      <c r="C55" s="49">
        <v>1.3187735578969335</v>
      </c>
      <c r="D55" s="49">
        <v>2.260703733214733E-2</v>
      </c>
      <c r="E55" s="49">
        <v>58.334647681659298</v>
      </c>
      <c r="F55" s="49">
        <v>2.6262464681140175E-2</v>
      </c>
      <c r="G55" s="49">
        <v>1.3128270408198552</v>
      </c>
      <c r="H55" s="49">
        <v>2.2355903879742837E-2</v>
      </c>
      <c r="I55" s="49">
        <v>58.723952647221559</v>
      </c>
      <c r="J55" s="49">
        <v>1.9746733323361489E-2</v>
      </c>
      <c r="K55" s="49">
        <v>1.3051430651733642</v>
      </c>
      <c r="L55" s="49">
        <v>2.2122562313734676E-2</v>
      </c>
      <c r="M55" s="49">
        <v>58.996017127865564</v>
      </c>
      <c r="N55" s="49">
        <v>1.2880217735615412E-2</v>
      </c>
      <c r="O55" s="49">
        <v>1.3160921177256333</v>
      </c>
      <c r="P55" s="49">
        <v>2.2494683977226593E-2</v>
      </c>
      <c r="Q55" s="49">
        <v>58.506806277342356</v>
      </c>
      <c r="R55" s="49">
        <v>2.5634074080207656E-2</v>
      </c>
      <c r="S55" s="49">
        <v>1.3128270408198552</v>
      </c>
      <c r="T55" s="49">
        <v>2.2355903879742837E-2</v>
      </c>
      <c r="U55" s="49">
        <v>58.723952647221559</v>
      </c>
      <c r="V55" s="49">
        <v>1.9746733323361489E-2</v>
      </c>
      <c r="W55" s="49">
        <v>1.310345208300886</v>
      </c>
      <c r="X55" s="49">
        <v>2.6554398914930048E-2</v>
      </c>
      <c r="Y55" s="49">
        <v>49.345692685370949</v>
      </c>
      <c r="Z55" s="49">
        <v>-9.2278376221393062E-3</v>
      </c>
      <c r="AA55" s="49"/>
      <c r="AB55" s="49"/>
      <c r="AC55" s="49"/>
      <c r="AD55" s="49"/>
      <c r="AE55" s="49"/>
      <c r="AF55" s="49"/>
      <c r="AG55" s="49"/>
      <c r="AH55" s="49"/>
    </row>
    <row r="56" spans="2:34">
      <c r="B56" s="49">
        <v>5</v>
      </c>
      <c r="C56" s="49">
        <v>1.3831789286152301</v>
      </c>
      <c r="D56" s="49">
        <v>2.5937992949759309E-2</v>
      </c>
      <c r="E56" s="49">
        <v>53.32636689717603</v>
      </c>
      <c r="F56" s="49">
        <v>2.8369277185372372E-2</v>
      </c>
      <c r="G56" s="49">
        <v>1.3760387777163889</v>
      </c>
      <c r="H56" s="49">
        <v>2.5578983917829839E-2</v>
      </c>
      <c r="I56" s="49">
        <v>53.795677816475774</v>
      </c>
      <c r="J56" s="49">
        <v>1.923727615783858E-2</v>
      </c>
      <c r="K56" s="49">
        <v>1.3668825388561927</v>
      </c>
      <c r="L56" s="49">
        <v>2.5221474664094426E-2</v>
      </c>
      <c r="M56" s="49">
        <v>54.195187119732623</v>
      </c>
      <c r="N56" s="49">
        <v>9.6689046206848844E-3</v>
      </c>
      <c r="O56" s="49">
        <v>1.3810268209188563</v>
      </c>
      <c r="P56" s="49">
        <v>2.5802263426204397E-2</v>
      </c>
      <c r="Q56" s="49">
        <v>53.523475755088441</v>
      </c>
      <c r="R56" s="49">
        <v>2.7706786224306848E-2</v>
      </c>
      <c r="S56" s="49">
        <v>1.3760387777163889</v>
      </c>
      <c r="T56" s="49">
        <v>2.5578983917829839E-2</v>
      </c>
      <c r="U56" s="49">
        <v>53.795677816475774</v>
      </c>
      <c r="V56" s="49">
        <v>1.923727615783858E-2</v>
      </c>
      <c r="W56" s="49">
        <v>1.3626586070056004</v>
      </c>
      <c r="X56" s="49">
        <v>2.9786912674333466E-2</v>
      </c>
      <c r="Y56" s="49">
        <v>45.746889645927105</v>
      </c>
      <c r="Z56" s="49">
        <v>-1.7492027818537335E-2</v>
      </c>
      <c r="AA56" s="49"/>
      <c r="AB56" s="49"/>
      <c r="AC56" s="49"/>
      <c r="AD56" s="49"/>
      <c r="AE56" s="49"/>
      <c r="AF56" s="49"/>
      <c r="AG56" s="49"/>
      <c r="AH56" s="49"/>
    </row>
    <row r="57" spans="2:34">
      <c r="B57" s="49">
        <v>6</v>
      </c>
      <c r="C57" s="49">
        <v>1.4345740543791807</v>
      </c>
      <c r="D57" s="49">
        <v>2.9873477018901855E-2</v>
      </c>
      <c r="E57" s="49">
        <v>48.021663279151674</v>
      </c>
      <c r="F57" s="49">
        <v>2.884428685476648E-2</v>
      </c>
      <c r="G57" s="49">
        <v>1.4264909892146416</v>
      </c>
      <c r="H57" s="49">
        <v>2.9358707369638488E-2</v>
      </c>
      <c r="I57" s="49">
        <v>48.588344549864516</v>
      </c>
      <c r="J57" s="49">
        <v>1.6936100012775523E-2</v>
      </c>
      <c r="K57" s="49">
        <v>1.4161999445875124</v>
      </c>
      <c r="L57" s="49">
        <v>2.8824790477325959E-2</v>
      </c>
      <c r="M57" s="49">
        <v>49.131317908503725</v>
      </c>
      <c r="N57" s="49">
        <v>4.5173386548114734E-3</v>
      </c>
      <c r="O57" s="49">
        <v>1.4329372846896291</v>
      </c>
      <c r="P57" s="49">
        <v>2.970873440038533E-2</v>
      </c>
      <c r="Q57" s="49">
        <v>48.232861938105422</v>
      </c>
      <c r="R57" s="49">
        <v>2.8157238189395587E-2</v>
      </c>
      <c r="S57" s="49">
        <v>1.4264909892146416</v>
      </c>
      <c r="T57" s="49">
        <v>2.9358707369638488E-2</v>
      </c>
      <c r="U57" s="49">
        <v>48.588344549864516</v>
      </c>
      <c r="V57" s="49">
        <v>1.6936100012775523E-2</v>
      </c>
      <c r="W57" s="49">
        <v>1.4033092531291642</v>
      </c>
      <c r="X57" s="49">
        <v>3.3435499440769685E-2</v>
      </c>
      <c r="Y57" s="49">
        <v>41.970638291648626</v>
      </c>
      <c r="Z57" s="49">
        <v>-2.6847060773893247E-2</v>
      </c>
      <c r="AA57" s="49"/>
      <c r="AB57" s="49"/>
      <c r="AC57" s="49"/>
      <c r="AD57" s="49"/>
      <c r="AE57" s="49"/>
      <c r="AF57" s="49"/>
      <c r="AG57" s="49"/>
      <c r="AH57" s="49"/>
    </row>
    <row r="58" spans="2:34">
      <c r="B58" s="49">
        <v>7</v>
      </c>
      <c r="C58" s="49">
        <v>1.4742650728593332</v>
      </c>
      <c r="D58" s="49">
        <v>3.4505088068729019E-2</v>
      </c>
      <c r="E58" s="49">
        <v>42.726019708247541</v>
      </c>
      <c r="F58" s="49">
        <v>2.7845941277385901E-2</v>
      </c>
      <c r="G58" s="49">
        <v>1.4654960851524816</v>
      </c>
      <c r="H58" s="49">
        <v>3.3781906132927961E-2</v>
      </c>
      <c r="I58" s="49">
        <v>43.381095175207733</v>
      </c>
      <c r="J58" s="49">
        <v>1.3084819048684262E-2</v>
      </c>
      <c r="K58" s="49">
        <v>1.4544008730558784</v>
      </c>
      <c r="L58" s="49">
        <v>3.3013961808847858E-2</v>
      </c>
      <c r="M58" s="49">
        <v>44.054115088546986</v>
      </c>
      <c r="N58" s="49">
        <v>-2.2595817549896117E-3</v>
      </c>
      <c r="O58" s="49">
        <v>1.4730657025952925</v>
      </c>
      <c r="P58" s="49">
        <v>3.430626758418244E-2</v>
      </c>
      <c r="Q58" s="49">
        <v>42.938675825943754</v>
      </c>
      <c r="R58" s="49">
        <v>2.7149361526336749E-2</v>
      </c>
      <c r="S58" s="49">
        <v>1.4654960851524816</v>
      </c>
      <c r="T58" s="49">
        <v>3.3781906132927961E-2</v>
      </c>
      <c r="U58" s="49">
        <v>43.381095175207733</v>
      </c>
      <c r="V58" s="49">
        <v>1.3084819048684262E-2</v>
      </c>
      <c r="W58" s="49">
        <v>1.433658169481042</v>
      </c>
      <c r="X58" s="49">
        <v>3.7662002472283407E-2</v>
      </c>
      <c r="Y58" s="49">
        <v>38.06643501062149</v>
      </c>
      <c r="Z58" s="49">
        <v>-3.6851337398433034E-2</v>
      </c>
      <c r="AA58" s="49"/>
      <c r="AB58" s="49"/>
      <c r="AC58" s="49"/>
      <c r="AD58" s="49"/>
      <c r="AE58" s="49"/>
      <c r="AF58" s="49"/>
      <c r="AG58" s="49"/>
      <c r="AH58" s="49"/>
    </row>
    <row r="59" spans="2:34">
      <c r="B59" s="49">
        <v>8</v>
      </c>
      <c r="C59" s="49">
        <v>1.5046866842258835</v>
      </c>
      <c r="D59" s="49">
        <v>3.9908329626197489E-2</v>
      </c>
      <c r="E59" s="49">
        <v>37.703574625136511</v>
      </c>
      <c r="F59" s="49">
        <v>2.5468278806963909E-2</v>
      </c>
      <c r="G59" s="49">
        <v>1.4954139738277121</v>
      </c>
      <c r="H59" s="49">
        <v>3.8920992091514811E-2</v>
      </c>
      <c r="I59" s="49">
        <v>38.42178458122418</v>
      </c>
      <c r="J59" s="49">
        <v>7.8370222155974556E-3</v>
      </c>
      <c r="K59" s="49">
        <v>1.490523971290111</v>
      </c>
      <c r="L59" s="49">
        <v>3.1565457873161819E-2</v>
      </c>
      <c r="M59" s="49">
        <v>47.220096641063222</v>
      </c>
      <c r="N59" s="49">
        <v>-1.2424518050586383E-2</v>
      </c>
      <c r="O59" s="49">
        <v>1.503794898908553</v>
      </c>
      <c r="P59" s="49">
        <v>3.9671838863998971E-2</v>
      </c>
      <c r="Q59" s="49">
        <v>37.905853168636533</v>
      </c>
      <c r="R59" s="49">
        <v>2.4779684966580409E-2</v>
      </c>
      <c r="S59" s="49">
        <v>1.4954139738277121</v>
      </c>
      <c r="T59" s="49">
        <v>3.8920992091514811E-2</v>
      </c>
      <c r="U59" s="49">
        <v>38.42178458122418</v>
      </c>
      <c r="V59" s="49">
        <v>7.8370222155974556E-3</v>
      </c>
      <c r="W59" s="49">
        <v>1.4560816959192397</v>
      </c>
      <c r="X59" s="49">
        <v>4.2520536503655129E-2</v>
      </c>
      <c r="Y59" s="49">
        <v>34.244198583761346</v>
      </c>
      <c r="Z59" s="49">
        <v>-4.7303401415913646E-2</v>
      </c>
      <c r="AA59" s="49"/>
      <c r="AB59" s="49"/>
      <c r="AC59" s="49"/>
      <c r="AD59" s="49"/>
      <c r="AE59" s="49"/>
      <c r="AF59" s="49"/>
      <c r="AG59" s="49"/>
      <c r="AH59" s="49"/>
    </row>
    <row r="60" spans="2:34">
      <c r="B60" s="49">
        <v>9</v>
      </c>
      <c r="C60" s="49">
        <v>1.5288179339637027</v>
      </c>
      <c r="D60" s="49">
        <v>4.6136155484577696E-2</v>
      </c>
      <c r="E60" s="49">
        <v>33.137089944019131</v>
      </c>
      <c r="F60" s="49">
        <v>2.175462966140515E-2</v>
      </c>
      <c r="G60" s="49">
        <v>1.5191324011381448</v>
      </c>
      <c r="H60" s="49">
        <v>4.4826125684652079E-2</v>
      </c>
      <c r="I60" s="49">
        <v>33.889442327117671</v>
      </c>
      <c r="J60" s="49">
        <v>1.2694374043107676E-3</v>
      </c>
      <c r="K60" s="49">
        <v>1.5126754760844208</v>
      </c>
      <c r="L60" s="49">
        <v>3.7120856262791331E-2</v>
      </c>
      <c r="M60" s="49">
        <v>40.750015715576978</v>
      </c>
      <c r="N60" s="49">
        <v>-2.2492708621157247E-2</v>
      </c>
      <c r="O60" s="49">
        <v>1.5280870660533001</v>
      </c>
      <c r="P60" s="49">
        <v>4.586013654636615E-2</v>
      </c>
      <c r="Q60" s="49">
        <v>33.320595644287984</v>
      </c>
      <c r="R60" s="49">
        <v>2.1089886435842694E-2</v>
      </c>
      <c r="S60" s="49">
        <v>1.5191324011381448</v>
      </c>
      <c r="T60" s="49">
        <v>4.4826125684652079E-2</v>
      </c>
      <c r="U60" s="49">
        <v>33.889442327117671</v>
      </c>
      <c r="V60" s="49">
        <v>1.2694374043107676E-3</v>
      </c>
      <c r="W60" s="49">
        <v>1.4734104045534535</v>
      </c>
      <c r="X60" s="49">
        <v>4.8058299410250332E-2</v>
      </c>
      <c r="Y60" s="49">
        <v>30.658812788518912</v>
      </c>
      <c r="Z60" s="49">
        <v>-5.8274293919103354E-2</v>
      </c>
      <c r="AA60" s="49"/>
      <c r="AB60" s="49"/>
      <c r="AC60" s="49"/>
      <c r="AD60" s="49"/>
      <c r="AE60" s="49"/>
      <c r="AF60" s="49"/>
      <c r="AG60" s="49"/>
      <c r="AH60" s="49"/>
    </row>
    <row r="61" spans="2:34">
      <c r="B61" s="49">
        <v>10</v>
      </c>
      <c r="C61" s="49">
        <v>1.5492569699167882</v>
      </c>
      <c r="D61" s="49">
        <v>5.3231329658654625E-2</v>
      </c>
      <c r="E61" s="49">
        <v>29.104232034994869</v>
      </c>
      <c r="F61" s="49">
        <v>1.6759568404356412E-2</v>
      </c>
      <c r="G61" s="49">
        <v>1.5392281314903207</v>
      </c>
      <c r="H61" s="49">
        <v>5.1534762982444519E-2</v>
      </c>
      <c r="I61" s="49">
        <v>29.867763862902869</v>
      </c>
      <c r="J61" s="49">
        <v>-6.5527042199449419E-3</v>
      </c>
      <c r="K61" s="49">
        <v>1.5266711699512283</v>
      </c>
      <c r="L61" s="49">
        <v>4.9681522800443752E-2</v>
      </c>
      <c r="M61" s="49">
        <v>30.729154097860949</v>
      </c>
      <c r="N61" s="49">
        <v>-3.0731107379687827E-2</v>
      </c>
      <c r="O61" s="49">
        <v>1.5485770413802966</v>
      </c>
      <c r="P61" s="49">
        <v>5.2914785039589102E-2</v>
      </c>
      <c r="Q61" s="49">
        <v>29.26548865731387</v>
      </c>
      <c r="R61" s="49">
        <v>1.6129650746060514E-2</v>
      </c>
      <c r="S61" s="49">
        <v>1.5392281314903207</v>
      </c>
      <c r="T61" s="49">
        <v>5.1534762982444519E-2</v>
      </c>
      <c r="U61" s="49">
        <v>29.867763862902869</v>
      </c>
      <c r="V61" s="49">
        <v>-6.5527042199449419E-3</v>
      </c>
      <c r="W61" s="49">
        <v>1.4883013337930915</v>
      </c>
      <c r="X61" s="49">
        <v>5.4280644219940069E-2</v>
      </c>
      <c r="Y61" s="49">
        <v>27.418637991152693</v>
      </c>
      <c r="Z61" s="49">
        <v>-7.00353349761412E-2</v>
      </c>
      <c r="AA61" s="49"/>
      <c r="AB61" s="49"/>
      <c r="AC61" s="49"/>
      <c r="AD61" s="49"/>
      <c r="AE61" s="49"/>
      <c r="AF61" s="49"/>
      <c r="AG61" s="49"/>
      <c r="AH61" s="49"/>
    </row>
    <row r="202" spans="2:15">
      <c r="B202" s="271" t="s">
        <v>1158</v>
      </c>
    </row>
    <row r="203" spans="2:15">
      <c r="B203" t="s">
        <v>1038</v>
      </c>
    </row>
    <row r="204" spans="2:15">
      <c r="B204" t="s">
        <v>816</v>
      </c>
      <c r="C204">
        <f>MATCH(0,B209:B323, 0) - 1</f>
        <v>87</v>
      </c>
    </row>
    <row r="206" spans="2:15">
      <c r="B206" s="207" t="s">
        <v>958</v>
      </c>
      <c r="C206" s="207" t="s">
        <v>996</v>
      </c>
      <c r="D206" s="207" t="s">
        <v>887</v>
      </c>
      <c r="E206" s="207" t="s">
        <v>99</v>
      </c>
      <c r="F206" s="242" t="s">
        <v>823</v>
      </c>
      <c r="G206" s="243" t="s">
        <v>824</v>
      </c>
      <c r="H206" s="243" t="s">
        <v>999</v>
      </c>
      <c r="I206" s="243" t="s">
        <v>1000</v>
      </c>
      <c r="J206" s="243" t="s">
        <v>1001</v>
      </c>
      <c r="K206" s="243" t="s">
        <v>1002</v>
      </c>
      <c r="L206" s="243" t="s">
        <v>1003</v>
      </c>
      <c r="M206" s="211" t="s">
        <v>1026</v>
      </c>
      <c r="N206" s="207" t="s">
        <v>574</v>
      </c>
      <c r="O206" s="207" t="s">
        <v>574</v>
      </c>
    </row>
    <row r="207" spans="2:15">
      <c r="B207" s="207"/>
      <c r="C207" s="207" t="s">
        <v>145</v>
      </c>
      <c r="D207" s="207" t="s">
        <v>145</v>
      </c>
      <c r="E207" s="207" t="s">
        <v>833</v>
      </c>
      <c r="F207" s="242" t="s">
        <v>145</v>
      </c>
      <c r="G207" s="243" t="s">
        <v>148</v>
      </c>
      <c r="H207" s="243"/>
      <c r="I207" s="243"/>
      <c r="J207" s="243"/>
      <c r="K207" s="243"/>
      <c r="L207" s="243"/>
      <c r="M207" s="211" t="s">
        <v>148</v>
      </c>
      <c r="N207" t="s">
        <v>495</v>
      </c>
      <c r="O207" t="s">
        <v>145</v>
      </c>
    </row>
    <row r="208" spans="2:15">
      <c r="B208">
        <f>'主翼(型紙出力)'!B51</f>
        <v>0</v>
      </c>
      <c r="C208">
        <f>INT(('主翼(型紙出力)'!C51)*1000)/1000</f>
        <v>0</v>
      </c>
      <c r="D208">
        <f>'主翼(型紙出力)'!E51</f>
        <v>0.15</v>
      </c>
      <c r="E208">
        <f>'主翼(重量推算)'!CE48</f>
        <v>4.0709865684156323</v>
      </c>
      <c r="F208" s="244" cm="1">
        <f t="array" ref="F208">_xlfn.SWITCH(TRUE,
  $C208&lt;$C$6,  $AA$4*$C208+$AB$4,
  $C208&lt;$C$7,  $AA$5*$C208+$AB$5,
  $C208&lt;$C$8,  $AA$6*$C208+$AB$6,
  $C208&lt;$C$9, $AA$7*$C208+$AB$7,
  $C208&lt;$C$10, $AA$8*$C208+$AB$8,
  $C208&lt;$C$11, $AA$9*$C208+$AB$9,
  $C208&lt;$C$12,  $AA$10*$C208+$AB$10,
  $C208&lt;$C$13, $AA$11*$C208+$AB$11,
  $AA$12*$C208+$AB$12
)</f>
        <v>1.1000000000000001</v>
      </c>
      <c r="G208" s="244" cm="1">
        <f t="array" ref="G208">_xlfn.SWITCH(TRUE,
  $C208&lt;$C$6,  $AC$4*$C208+$AD$4,
  $C208&lt;$C$7,  $AC$5*$C208+$AD$5,
  $C208&lt;$C$8,  $AC$6*$C208+$AD$6,
  $C208&lt;$C$9, $AC$7*$C208+$AD$7,
  $C208&lt;$C$10, $AC$8*$C208+$AD$8,
  $C208&lt;$C$11, $AC$9*$C208+$AD$9,
  $C208&lt;$C$12,  $AC$10*$C208+$AD$10,
  $C208&lt;$C$13, $AC$11*$C208+$AD$11,
  $AC$12*$C208+$AD$12
)</f>
        <v>3.7199999999999998</v>
      </c>
      <c r="H208" cm="1">
        <f t="array" ref="H208">_xlfn.LET(
  _xlpm.y,$C208,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08" cm="1">
        <f t="array" ref="I208">_xlfn.LET(
  _xlpm.y,$C208,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08" cm="1">
        <f t="array" ref="J208">_xlfn.LET(
  _xlpm.y,$C208,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08" cm="1">
        <f t="array" ref="K208">_xlfn.LET(
  _xlpm.y,$C208,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08" cm="1">
        <f t="array" ref="L208">_xlfn.LET(
  _xlpm.y,$C208,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08" cm="1">
        <f t="array" ref="M208">_xlfn.SWITCH(TRUE,
  $C208&lt;$C$6,  $D$5,
  $C208&lt;$C$7,  $D$6,
  $C208&lt;$C$8,  $D$7,
  $C208&lt;$C$9,  $D$8,
  $C208&lt;$C$10,  $D$9,
  $C208&lt;$C$11,  $D$10,
  $C208&lt;$C$12,  $D$11,
  $C208&lt;$C$13,  $D$12,
  $C208&lt;$C$14,  $D$13,
  $C208&lt;100,  $D$14,
)</f>
        <v>0</v>
      </c>
      <c r="N208">
        <f>主翼翼型1!$R$18*'主翼(平面形結果)'!H208+主翼翼型2!$R$18*'主翼(平面形結果)'!I208+主翼翼型3!$R$18*'主翼(平面形結果)'!J208+主翼翼型4!$R$18*'主翼(平面形結果)'!K208+主翼翼型5!$R$18*'主翼(平面形結果)'!L208</f>
        <v>14.593327618117016</v>
      </c>
      <c r="O208">
        <f>F208*N208/100*1000</f>
        <v>160.52660379928719</v>
      </c>
    </row>
    <row r="209" spans="2:15">
      <c r="B209">
        <f>'主翼(型紙出力)'!B52</f>
        <v>1</v>
      </c>
      <c r="C209">
        <f>INT(('主翼(型紙出力)'!C52)*1000)/1000</f>
        <v>0.15</v>
      </c>
      <c r="D209">
        <f>'主翼(型紙出力)'!E52</f>
        <v>0.15</v>
      </c>
      <c r="E209">
        <f>'主翼(重量推算)'!CE49</f>
        <v>4.5776269032621357</v>
      </c>
      <c r="F209" s="244" cm="1">
        <f t="array" ref="F209">_xlfn.SWITCH(TRUE,
  $C209&lt;$C$6,  $AA$4*$C209+$AB$4,
  $C209&lt;$C$7,  $AA$5*$C209+$AB$5,
  $C209&lt;$C$8,  $AA$6*$C209+$AB$6,
  $C209&lt;$C$9, $AA$7*$C209+$AB$7,
  $C209&lt;$C$10, $AA$8*$C209+$AB$8,
  $C209&lt;$C$11, $AA$9*$C209+$AB$9,
  $C209&lt;$C$12,  $AA$10*$C209+$AB$10,
  $C209&lt;$C$13, $AA$11*$C209+$AB$11,
  $AA$12*$C209+$AB$12
)</f>
        <v>1.1000000000000001</v>
      </c>
      <c r="G209" s="244" cm="1">
        <f t="array" ref="G209">_xlfn.SWITCH(TRUE,
  $C209&lt;$C$6,  $AC$4*$C209+$AD$4,
  $C209&lt;$C$7,  $AC$5*$C209+$AD$5,
  $C209&lt;$C$8,  $AC$6*$C209+$AD$6,
  $C209&lt;$C$9, $AC$7*$C209+$AD$7,
  $C209&lt;$C$10, $AC$8*$C209+$AD$8,
  $C209&lt;$C$11, $AC$9*$C209+$AD$9,
  $C209&lt;$C$12,  $AC$10*$C209+$AD$10,
  $C209&lt;$C$13, $AC$11*$C209+$AD$11,
  $AC$12*$C209+$AD$12
)</f>
        <v>3.7199999999999998</v>
      </c>
      <c r="H209" cm="1">
        <f t="array" ref="H209">_xlfn.LET(
  _xlpm.y,$C209,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09" cm="1">
        <f t="array" ref="I209">_xlfn.LET(
  _xlpm.y,$C209,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09" cm="1">
        <f t="array" ref="J209">_xlfn.LET(
  _xlpm.y,$C209,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09" cm="1">
        <f t="array" ref="K209">_xlfn.LET(
  _xlpm.y,$C209,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09" cm="1">
        <f t="array" ref="L209">_xlfn.LET(
  _xlpm.y,$C209,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09" cm="1">
        <f t="array" ref="M209">_xlfn.SWITCH(TRUE,
  $C209&lt;$C$6,  $D$5,
  $C209&lt;$C$7,  $D$6,
  $C209&lt;$C$8,  $D$7,
  $C209&lt;$C$9,  $D$8,
  $C209&lt;$C$10,  $D$9,
  $C209&lt;$C$11,  $D$10,
  $C209&lt;$C$12,  $D$11,
  $C209&lt;$C$13,  $D$12,
  $C209&lt;$C$14,  $D$13,
  $C209&lt;100,  $D$14,
)</f>
        <v>0</v>
      </c>
      <c r="N209">
        <f>主翼翼型1!$R$18*'主翼(平面形結果)'!H209+主翼翼型2!$R$18*'主翼(平面形結果)'!I209+主翼翼型3!$R$18*'主翼(平面形結果)'!J209+主翼翼型4!$R$18*'主翼(平面形結果)'!K209+主翼翼型5!$R$18*'主翼(平面形結果)'!L209</f>
        <v>14.593327618117016</v>
      </c>
      <c r="O209">
        <f t="shared" ref="O209:O272" si="0">F209*N209/100*1000</f>
        <v>160.52660379928719</v>
      </c>
    </row>
    <row r="210" spans="2:15">
      <c r="B210">
        <f>'主翼(型紙出力)'!B53</f>
        <v>2</v>
      </c>
      <c r="C210">
        <f>INT(('主翼(型紙出力)'!C53)*1000)/1000</f>
        <v>0.3</v>
      </c>
      <c r="D210">
        <f>'主翼(型紙出力)'!E53</f>
        <v>0.15</v>
      </c>
      <c r="E210">
        <f>'主翼(重量推算)'!CE50</f>
        <v>4.5776269032621357</v>
      </c>
      <c r="F210" s="244" cm="1">
        <f t="array" ref="F210">_xlfn.SWITCH(TRUE,
  $C210&lt;$C$6,  $AA$4*$C210+$AB$4,
  $C210&lt;$C$7,  $AA$5*$C210+$AB$5,
  $C210&lt;$C$8,  $AA$6*$C210+$AB$6,
  $C210&lt;$C$9, $AA$7*$C210+$AB$7,
  $C210&lt;$C$10, $AA$8*$C210+$AB$8,
  $C210&lt;$C$11, $AA$9*$C210+$AB$9,
  $C210&lt;$C$12,  $AA$10*$C210+$AB$10,
  $C210&lt;$C$13, $AA$11*$C210+$AB$11,
  $AA$12*$C210+$AB$12
)</f>
        <v>1.1000000000000001</v>
      </c>
      <c r="G210" s="244" cm="1">
        <f t="array" ref="G210">_xlfn.SWITCH(TRUE,
  $C210&lt;$C$6,  $AC$4*$C210+$AD$4,
  $C210&lt;$C$7,  $AC$5*$C210+$AD$5,
  $C210&lt;$C$8,  $AC$6*$C210+$AD$6,
  $C210&lt;$C$9, $AC$7*$C210+$AD$7,
  $C210&lt;$C$10, $AC$8*$C210+$AD$8,
  $C210&lt;$C$11, $AC$9*$C210+$AD$9,
  $C210&lt;$C$12,  $AC$10*$C210+$AD$10,
  $C210&lt;$C$13, $AC$11*$C210+$AD$11,
  $AC$12*$C210+$AD$12
)</f>
        <v>3.7199999999999998</v>
      </c>
      <c r="H210" cm="1">
        <f t="array" ref="H210">_xlfn.LET(
  _xlpm.y,$C210,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0" cm="1">
        <f t="array" ref="I210">_xlfn.LET(
  _xlpm.y,$C210,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0" cm="1">
        <f t="array" ref="J210">_xlfn.LET(
  _xlpm.y,$C210,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0" cm="1">
        <f t="array" ref="K210">_xlfn.LET(
  _xlpm.y,$C210,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0" cm="1">
        <f t="array" ref="L210">_xlfn.LET(
  _xlpm.y,$C210,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0" cm="1">
        <f t="array" ref="M210">_xlfn.SWITCH(TRUE,
  $C210&lt;$C$6,  $D$5,
  $C210&lt;$C$7,  $D$6,
  $C210&lt;$C$8,  $D$7,
  $C210&lt;$C$9,  $D$8,
  $C210&lt;$C$10,  $D$9,
  $C210&lt;$C$11,  $D$10,
  $C210&lt;$C$12,  $D$11,
  $C210&lt;$C$13,  $D$12,
  $C210&lt;$C$14,  $D$13,
  $C210&lt;100,  $D$14,
)</f>
        <v>0</v>
      </c>
      <c r="N210">
        <f>主翼翼型1!$R$18*'主翼(平面形結果)'!H210+主翼翼型2!$R$18*'主翼(平面形結果)'!I210+主翼翼型3!$R$18*'主翼(平面形結果)'!J210+主翼翼型4!$R$18*'主翼(平面形結果)'!K210+主翼翼型5!$R$18*'主翼(平面形結果)'!L210</f>
        <v>14.593327618117016</v>
      </c>
      <c r="O210">
        <f t="shared" si="0"/>
        <v>160.52660379928719</v>
      </c>
    </row>
    <row r="211" spans="2:15">
      <c r="B211">
        <f>'主翼(型紙出力)'!B54</f>
        <v>3</v>
      </c>
      <c r="C211">
        <f>INT(('主翼(型紙出力)'!C54)*1000)/1000</f>
        <v>0.45</v>
      </c>
      <c r="D211">
        <f>'主翼(型紙出力)'!E54</f>
        <v>0.15</v>
      </c>
      <c r="E211">
        <f>'主翼(重量推算)'!CE51</f>
        <v>4.5776269032621366</v>
      </c>
      <c r="F211" s="244" cm="1">
        <f t="array" ref="F211">_xlfn.SWITCH(TRUE,
  $C211&lt;$C$6,  $AA$4*$C211+$AB$4,
  $C211&lt;$C$7,  $AA$5*$C211+$AB$5,
  $C211&lt;$C$8,  $AA$6*$C211+$AB$6,
  $C211&lt;$C$9, $AA$7*$C211+$AB$7,
  $C211&lt;$C$10, $AA$8*$C211+$AB$8,
  $C211&lt;$C$11, $AA$9*$C211+$AB$9,
  $C211&lt;$C$12,  $AA$10*$C211+$AB$10,
  $C211&lt;$C$13, $AA$11*$C211+$AB$11,
  $AA$12*$C211+$AB$12
)</f>
        <v>1.1000000000000001</v>
      </c>
      <c r="G211" s="244" cm="1">
        <f t="array" ref="G211">_xlfn.SWITCH(TRUE,
  $C211&lt;$C$6,  $AC$4*$C211+$AD$4,
  $C211&lt;$C$7,  $AC$5*$C211+$AD$5,
  $C211&lt;$C$8,  $AC$6*$C211+$AD$6,
  $C211&lt;$C$9, $AC$7*$C211+$AD$7,
  $C211&lt;$C$10, $AC$8*$C211+$AD$8,
  $C211&lt;$C$11, $AC$9*$C211+$AD$9,
  $C211&lt;$C$12,  $AC$10*$C211+$AD$10,
  $C211&lt;$C$13, $AC$11*$C211+$AD$11,
  $AC$12*$C211+$AD$12
)</f>
        <v>3.7199999999999998</v>
      </c>
      <c r="H211" cm="1">
        <f t="array" ref="H211">_xlfn.LET(
  _xlpm.y,$C211,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1" cm="1">
        <f t="array" ref="I211">_xlfn.LET(
  _xlpm.y,$C211,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1" cm="1">
        <f t="array" ref="J211">_xlfn.LET(
  _xlpm.y,$C211,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1" cm="1">
        <f t="array" ref="K211">_xlfn.LET(
  _xlpm.y,$C211,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1" cm="1">
        <f t="array" ref="L211">_xlfn.LET(
  _xlpm.y,$C211,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1" cm="1">
        <f t="array" ref="M211">_xlfn.SWITCH(TRUE,
  $C211&lt;$C$6,  $D$5,
  $C211&lt;$C$7,  $D$6,
  $C211&lt;$C$8,  $D$7,
  $C211&lt;$C$9,  $D$8,
  $C211&lt;$C$10,  $D$9,
  $C211&lt;$C$11,  $D$10,
  $C211&lt;$C$12,  $D$11,
  $C211&lt;$C$13,  $D$12,
  $C211&lt;$C$14,  $D$13,
  $C211&lt;100,  $D$14,
)</f>
        <v>0</v>
      </c>
      <c r="N211">
        <f>主翼翼型1!$R$18*'主翼(平面形結果)'!H211+主翼翼型2!$R$18*'主翼(平面形結果)'!I211+主翼翼型3!$R$18*'主翼(平面形結果)'!J211+主翼翼型4!$R$18*'主翼(平面形結果)'!K211+主翼翼型5!$R$18*'主翼(平面形結果)'!L211</f>
        <v>14.593327618117016</v>
      </c>
      <c r="O211">
        <f t="shared" si="0"/>
        <v>160.52660379928719</v>
      </c>
    </row>
    <row r="212" spans="2:15">
      <c r="B212">
        <f>'主翼(型紙出力)'!B55</f>
        <v>4</v>
      </c>
      <c r="C212">
        <f>INT(('主翼(型紙出力)'!C55)*1000)/1000</f>
        <v>0.6</v>
      </c>
      <c r="D212">
        <f>'主翼(型紙出力)'!E55</f>
        <v>0.15</v>
      </c>
      <c r="E212">
        <f>'主翼(重量推算)'!CE52</f>
        <v>4.5776269032621366</v>
      </c>
      <c r="F212" s="244" cm="1">
        <f t="array" ref="F212">_xlfn.SWITCH(TRUE,
  $C212&lt;$C$6,  $AA$4*$C212+$AB$4,
  $C212&lt;$C$7,  $AA$5*$C212+$AB$5,
  $C212&lt;$C$8,  $AA$6*$C212+$AB$6,
  $C212&lt;$C$9, $AA$7*$C212+$AB$7,
  $C212&lt;$C$10, $AA$8*$C212+$AB$8,
  $C212&lt;$C$11, $AA$9*$C212+$AB$9,
  $C212&lt;$C$12,  $AA$10*$C212+$AB$10,
  $C212&lt;$C$13, $AA$11*$C212+$AB$11,
  $AA$12*$C212+$AB$12
)</f>
        <v>1.1000000000000001</v>
      </c>
      <c r="G212" s="244" cm="1">
        <f t="array" ref="G212">_xlfn.SWITCH(TRUE,
  $C212&lt;$C$6,  $AC$4*$C212+$AD$4,
  $C212&lt;$C$7,  $AC$5*$C212+$AD$5,
  $C212&lt;$C$8,  $AC$6*$C212+$AD$6,
  $C212&lt;$C$9, $AC$7*$C212+$AD$7,
  $C212&lt;$C$10, $AC$8*$C212+$AD$8,
  $C212&lt;$C$11, $AC$9*$C212+$AD$9,
  $C212&lt;$C$12,  $AC$10*$C212+$AD$10,
  $C212&lt;$C$13, $AC$11*$C212+$AD$11,
  $AC$12*$C212+$AD$12
)</f>
        <v>3.7199999999999998</v>
      </c>
      <c r="H212" cm="1">
        <f t="array" ref="H212">_xlfn.LET(
  _xlpm.y,$C212,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2" cm="1">
        <f t="array" ref="I212">_xlfn.LET(
  _xlpm.y,$C212,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2" cm="1">
        <f t="array" ref="J212">_xlfn.LET(
  _xlpm.y,$C212,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2" cm="1">
        <f t="array" ref="K212">_xlfn.LET(
  _xlpm.y,$C212,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2" cm="1">
        <f t="array" ref="L212">_xlfn.LET(
  _xlpm.y,$C212,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2" cm="1">
        <f t="array" ref="M212">_xlfn.SWITCH(TRUE,
  $C212&lt;$C$6,  $D$5,
  $C212&lt;$C$7,  $D$6,
  $C212&lt;$C$8,  $D$7,
  $C212&lt;$C$9,  $D$8,
  $C212&lt;$C$10,  $D$9,
  $C212&lt;$C$11,  $D$10,
  $C212&lt;$C$12,  $D$11,
  $C212&lt;$C$13,  $D$12,
  $C212&lt;$C$14,  $D$13,
  $C212&lt;100,  $D$14,
)</f>
        <v>0</v>
      </c>
      <c r="N212">
        <f>主翼翼型1!$R$18*'主翼(平面形結果)'!H212+主翼翼型2!$R$18*'主翼(平面形結果)'!I212+主翼翼型3!$R$18*'主翼(平面形結果)'!J212+主翼翼型4!$R$18*'主翼(平面形結果)'!K212+主翼翼型5!$R$18*'主翼(平面形結果)'!L212</f>
        <v>14.593327618117016</v>
      </c>
      <c r="O212">
        <f t="shared" si="0"/>
        <v>160.52660379928719</v>
      </c>
    </row>
    <row r="213" spans="2:15">
      <c r="B213">
        <f>'主翼(型紙出力)'!B56</f>
        <v>5</v>
      </c>
      <c r="C213">
        <f>INT(('主翼(型紙出力)'!C56)*1000)/1000</f>
        <v>0.75</v>
      </c>
      <c r="D213">
        <f>'主翼(型紙出力)'!E56</f>
        <v>0.15</v>
      </c>
      <c r="E213">
        <f>'主翼(重量推算)'!CE53</f>
        <v>4.5776269032621366</v>
      </c>
      <c r="F213" s="244" cm="1">
        <f t="array" ref="F213">_xlfn.SWITCH(TRUE,
  $C213&lt;$C$6,  $AA$4*$C213+$AB$4,
  $C213&lt;$C$7,  $AA$5*$C213+$AB$5,
  $C213&lt;$C$8,  $AA$6*$C213+$AB$6,
  $C213&lt;$C$9, $AA$7*$C213+$AB$7,
  $C213&lt;$C$10, $AA$8*$C213+$AB$8,
  $C213&lt;$C$11, $AA$9*$C213+$AB$9,
  $C213&lt;$C$12,  $AA$10*$C213+$AB$10,
  $C213&lt;$C$13, $AA$11*$C213+$AB$11,
  $AA$12*$C213+$AB$12
)</f>
        <v>1.1000000000000001</v>
      </c>
      <c r="G213" s="244" cm="1">
        <f t="array" ref="G213">_xlfn.SWITCH(TRUE,
  $C213&lt;$C$6,  $AC$4*$C213+$AD$4,
  $C213&lt;$C$7,  $AC$5*$C213+$AD$5,
  $C213&lt;$C$8,  $AC$6*$C213+$AD$6,
  $C213&lt;$C$9, $AC$7*$C213+$AD$7,
  $C213&lt;$C$10, $AC$8*$C213+$AD$8,
  $C213&lt;$C$11, $AC$9*$C213+$AD$9,
  $C213&lt;$C$12,  $AC$10*$C213+$AD$10,
  $C213&lt;$C$13, $AC$11*$C213+$AD$11,
  $AC$12*$C213+$AD$12
)</f>
        <v>3.7199999999999998</v>
      </c>
      <c r="H213" cm="1">
        <f t="array" ref="H213">_xlfn.LET(
  _xlpm.y,$C213,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3" cm="1">
        <f t="array" ref="I213">_xlfn.LET(
  _xlpm.y,$C213,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3" cm="1">
        <f t="array" ref="J213">_xlfn.LET(
  _xlpm.y,$C213,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3" cm="1">
        <f t="array" ref="K213">_xlfn.LET(
  _xlpm.y,$C213,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3" cm="1">
        <f t="array" ref="L213">_xlfn.LET(
  _xlpm.y,$C213,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3" cm="1">
        <f t="array" ref="M213">_xlfn.SWITCH(TRUE,
  $C213&lt;$C$6,  $D$5,
  $C213&lt;$C$7,  $D$6,
  $C213&lt;$C$8,  $D$7,
  $C213&lt;$C$9,  $D$8,
  $C213&lt;$C$10,  $D$9,
  $C213&lt;$C$11,  $D$10,
  $C213&lt;$C$12,  $D$11,
  $C213&lt;$C$13,  $D$12,
  $C213&lt;$C$14,  $D$13,
  $C213&lt;100,  $D$14,
)</f>
        <v>0</v>
      </c>
      <c r="N213">
        <f>主翼翼型1!$R$18*'主翼(平面形結果)'!H213+主翼翼型2!$R$18*'主翼(平面形結果)'!I213+主翼翼型3!$R$18*'主翼(平面形結果)'!J213+主翼翼型4!$R$18*'主翼(平面形結果)'!K213+主翼翼型5!$R$18*'主翼(平面形結果)'!L213</f>
        <v>14.593327618117016</v>
      </c>
      <c r="O213">
        <f t="shared" si="0"/>
        <v>160.52660379928719</v>
      </c>
    </row>
    <row r="214" spans="2:15">
      <c r="B214">
        <f>'主翼(型紙出力)'!B57</f>
        <v>6</v>
      </c>
      <c r="C214">
        <f>INT(('主翼(型紙出力)'!C57)*1000)/1000</f>
        <v>0.9</v>
      </c>
      <c r="D214">
        <f>'主翼(型紙出力)'!E57</f>
        <v>0.15</v>
      </c>
      <c r="E214">
        <f>'主翼(重量推算)'!CE54</f>
        <v>4.5776269032621366</v>
      </c>
      <c r="F214" s="244" cm="1">
        <f t="array" ref="F214">_xlfn.SWITCH(TRUE,
  $C214&lt;$C$6,  $AA$4*$C214+$AB$4,
  $C214&lt;$C$7,  $AA$5*$C214+$AB$5,
  $C214&lt;$C$8,  $AA$6*$C214+$AB$6,
  $C214&lt;$C$9, $AA$7*$C214+$AB$7,
  $C214&lt;$C$10, $AA$8*$C214+$AB$8,
  $C214&lt;$C$11, $AA$9*$C214+$AB$9,
  $C214&lt;$C$12,  $AA$10*$C214+$AB$10,
  $C214&lt;$C$13, $AA$11*$C214+$AB$11,
  $AA$12*$C214+$AB$12
)</f>
        <v>1.1000000000000001</v>
      </c>
      <c r="G214" s="244" cm="1">
        <f t="array" ref="G214">_xlfn.SWITCH(TRUE,
  $C214&lt;$C$6,  $AC$4*$C214+$AD$4,
  $C214&lt;$C$7,  $AC$5*$C214+$AD$5,
  $C214&lt;$C$8,  $AC$6*$C214+$AD$6,
  $C214&lt;$C$9, $AC$7*$C214+$AD$7,
  $C214&lt;$C$10, $AC$8*$C214+$AD$8,
  $C214&lt;$C$11, $AC$9*$C214+$AD$9,
  $C214&lt;$C$12,  $AC$10*$C214+$AD$10,
  $C214&lt;$C$13, $AC$11*$C214+$AD$11,
  $AC$12*$C214+$AD$12
)</f>
        <v>3.7199999999999998</v>
      </c>
      <c r="H214" cm="1">
        <f t="array" ref="H214">_xlfn.LET(
  _xlpm.y,$C214,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4" cm="1">
        <f t="array" ref="I214">_xlfn.LET(
  _xlpm.y,$C214,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4" cm="1">
        <f t="array" ref="J214">_xlfn.LET(
  _xlpm.y,$C214,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4" cm="1">
        <f t="array" ref="K214">_xlfn.LET(
  _xlpm.y,$C214,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4" cm="1">
        <f t="array" ref="L214">_xlfn.LET(
  _xlpm.y,$C214,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4" cm="1">
        <f t="array" ref="M214">_xlfn.SWITCH(TRUE,
  $C214&lt;$C$6,  $D$5,
  $C214&lt;$C$7,  $D$6,
  $C214&lt;$C$8,  $D$7,
  $C214&lt;$C$9,  $D$8,
  $C214&lt;$C$10,  $D$9,
  $C214&lt;$C$11,  $D$10,
  $C214&lt;$C$12,  $D$11,
  $C214&lt;$C$13,  $D$12,
  $C214&lt;$C$14,  $D$13,
  $C214&lt;100,  $D$14,
)</f>
        <v>0</v>
      </c>
      <c r="N214">
        <f>主翼翼型1!$R$18*'主翼(平面形結果)'!H214+主翼翼型2!$R$18*'主翼(平面形結果)'!I214+主翼翼型3!$R$18*'主翼(平面形結果)'!J214+主翼翼型4!$R$18*'主翼(平面形結果)'!K214+主翼翼型5!$R$18*'主翼(平面形結果)'!L214</f>
        <v>14.593327618117016</v>
      </c>
      <c r="O214">
        <f t="shared" si="0"/>
        <v>160.52660379928719</v>
      </c>
    </row>
    <row r="215" spans="2:15">
      <c r="B215">
        <f>'主翼(型紙出力)'!B58</f>
        <v>7</v>
      </c>
      <c r="C215">
        <f>INT(('主翼(型紙出力)'!C58)*1000)/1000</f>
        <v>1.05</v>
      </c>
      <c r="D215">
        <f>'主翼(型紙出力)'!E58</f>
        <v>0.15</v>
      </c>
      <c r="E215">
        <f>'主翼(重量推算)'!CE55</f>
        <v>4.5776269032621357</v>
      </c>
      <c r="F215" s="244" cm="1">
        <f t="array" ref="F215">_xlfn.SWITCH(TRUE,
  $C215&lt;$C$6,  $AA$4*$C215+$AB$4,
  $C215&lt;$C$7,  $AA$5*$C215+$AB$5,
  $C215&lt;$C$8,  $AA$6*$C215+$AB$6,
  $C215&lt;$C$9, $AA$7*$C215+$AB$7,
  $C215&lt;$C$10, $AA$8*$C215+$AB$8,
  $C215&lt;$C$11, $AA$9*$C215+$AB$9,
  $C215&lt;$C$12,  $AA$10*$C215+$AB$10,
  $C215&lt;$C$13, $AA$11*$C215+$AB$11,
  $AA$12*$C215+$AB$12
)</f>
        <v>1.1000000000000001</v>
      </c>
      <c r="G215" s="244" cm="1">
        <f t="array" ref="G215">_xlfn.SWITCH(TRUE,
  $C215&lt;$C$6,  $AC$4*$C215+$AD$4,
  $C215&lt;$C$7,  $AC$5*$C215+$AD$5,
  $C215&lt;$C$8,  $AC$6*$C215+$AD$6,
  $C215&lt;$C$9, $AC$7*$C215+$AD$7,
  $C215&lt;$C$10, $AC$8*$C215+$AD$8,
  $C215&lt;$C$11, $AC$9*$C215+$AD$9,
  $C215&lt;$C$12,  $AC$10*$C215+$AD$10,
  $C215&lt;$C$13, $AC$11*$C215+$AD$11,
  $AC$12*$C215+$AD$12
)</f>
        <v>3.7199999999999998</v>
      </c>
      <c r="H215" cm="1">
        <f t="array" ref="H215">_xlfn.LET(
  _xlpm.y,$C215,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5" cm="1">
        <f t="array" ref="I215">_xlfn.LET(
  _xlpm.y,$C215,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5" cm="1">
        <f t="array" ref="J215">_xlfn.LET(
  _xlpm.y,$C215,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5" cm="1">
        <f t="array" ref="K215">_xlfn.LET(
  _xlpm.y,$C215,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5" cm="1">
        <f t="array" ref="L215">_xlfn.LET(
  _xlpm.y,$C215,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5" cm="1">
        <f t="array" ref="M215">_xlfn.SWITCH(TRUE,
  $C215&lt;$C$6,  $D$5,
  $C215&lt;$C$7,  $D$6,
  $C215&lt;$C$8,  $D$7,
  $C215&lt;$C$9,  $D$8,
  $C215&lt;$C$10,  $D$9,
  $C215&lt;$C$11,  $D$10,
  $C215&lt;$C$12,  $D$11,
  $C215&lt;$C$13,  $D$12,
  $C215&lt;$C$14,  $D$13,
  $C215&lt;100,  $D$14,
)</f>
        <v>0</v>
      </c>
      <c r="N215">
        <f>主翼翼型1!$R$18*'主翼(平面形結果)'!H215+主翼翼型2!$R$18*'主翼(平面形結果)'!I215+主翼翼型3!$R$18*'主翼(平面形結果)'!J215+主翼翼型4!$R$18*'主翼(平面形結果)'!K215+主翼翼型5!$R$18*'主翼(平面形結果)'!L215</f>
        <v>14.593327618117016</v>
      </c>
      <c r="O215">
        <f t="shared" si="0"/>
        <v>160.52660379928719</v>
      </c>
    </row>
    <row r="216" spans="2:15">
      <c r="B216">
        <f>'主翼(型紙出力)'!B59</f>
        <v>8</v>
      </c>
      <c r="C216">
        <f>INT(('主翼(型紙出力)'!C59)*1000)/1000</f>
        <v>1.2</v>
      </c>
      <c r="D216">
        <f>'主翼(型紙出力)'!E59</f>
        <v>0.15</v>
      </c>
      <c r="E216">
        <f>'主翼(重量推算)'!CE56</f>
        <v>5.557326903262136</v>
      </c>
      <c r="F216" s="244" cm="1">
        <f t="array" ref="F216">_xlfn.SWITCH(TRUE,
  $C216&lt;$C$6,  $AA$4*$C216+$AB$4,
  $C216&lt;$C$7,  $AA$5*$C216+$AB$5,
  $C216&lt;$C$8,  $AA$6*$C216+$AB$6,
  $C216&lt;$C$9, $AA$7*$C216+$AB$7,
  $C216&lt;$C$10, $AA$8*$C216+$AB$8,
  $C216&lt;$C$11, $AA$9*$C216+$AB$9,
  $C216&lt;$C$12,  $AA$10*$C216+$AB$10,
  $C216&lt;$C$13, $AA$11*$C216+$AB$11,
  $AA$12*$C216+$AB$12
)</f>
        <v>1.1000000000000001</v>
      </c>
      <c r="G216" s="244" cm="1">
        <f t="array" ref="G216">_xlfn.SWITCH(TRUE,
  $C216&lt;$C$6,  $AC$4*$C216+$AD$4,
  $C216&lt;$C$7,  $AC$5*$C216+$AD$5,
  $C216&lt;$C$8,  $AC$6*$C216+$AD$6,
  $C216&lt;$C$9, $AC$7*$C216+$AD$7,
  $C216&lt;$C$10, $AC$8*$C216+$AD$8,
  $C216&lt;$C$11, $AC$9*$C216+$AD$9,
  $C216&lt;$C$12,  $AC$10*$C216+$AD$10,
  $C216&lt;$C$13, $AC$11*$C216+$AD$11,
  $AC$12*$C216+$AD$12
)</f>
        <v>3.7199999999999998</v>
      </c>
      <c r="H216" cm="1">
        <f t="array" ref="H216">_xlfn.LET(
  _xlpm.y,$C216,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6" cm="1">
        <f t="array" ref="I216">_xlfn.LET(
  _xlpm.y,$C216,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6" cm="1">
        <f t="array" ref="J216">_xlfn.LET(
  _xlpm.y,$C216,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6" cm="1">
        <f t="array" ref="K216">_xlfn.LET(
  _xlpm.y,$C216,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6" cm="1">
        <f t="array" ref="L216">_xlfn.LET(
  _xlpm.y,$C216,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6" cm="1">
        <f t="array" ref="M216">_xlfn.SWITCH(TRUE,
  $C216&lt;$C$6,  $D$5,
  $C216&lt;$C$7,  $D$6,
  $C216&lt;$C$8,  $D$7,
  $C216&lt;$C$9,  $D$8,
  $C216&lt;$C$10,  $D$9,
  $C216&lt;$C$11,  $D$10,
  $C216&lt;$C$12,  $D$11,
  $C216&lt;$C$13,  $D$12,
  $C216&lt;$C$14,  $D$13,
  $C216&lt;100,  $D$14,
)</f>
        <v>0</v>
      </c>
      <c r="N216">
        <f>主翼翼型1!$R$18*'主翼(平面形結果)'!H216+主翼翼型2!$R$18*'主翼(平面形結果)'!I216+主翼翼型3!$R$18*'主翼(平面形結果)'!J216+主翼翼型4!$R$18*'主翼(平面形結果)'!K216+主翼翼型5!$R$18*'主翼(平面形結果)'!L216</f>
        <v>14.593327618117016</v>
      </c>
      <c r="O216">
        <f t="shared" si="0"/>
        <v>160.52660379928719</v>
      </c>
    </row>
    <row r="217" spans="2:15">
      <c r="B217">
        <f>'主翼(型紙出力)'!B60</f>
        <v>9</v>
      </c>
      <c r="C217">
        <f>INT(('主翼(型紙出力)'!C60)*1000)/1000</f>
        <v>1.35</v>
      </c>
      <c r="D217">
        <f>'主翼(型紙出力)'!E60</f>
        <v>0.17499999999999999</v>
      </c>
      <c r="E217">
        <f>'主翼(重量推算)'!CE57</f>
        <v>6.1913794109745526</v>
      </c>
      <c r="F217" s="244" cm="1">
        <f t="array" ref="F217">_xlfn.SWITCH(TRUE,
  $C217&lt;$C$6,  $AA$4*$C217+$AB$4,
  $C217&lt;$C$7,  $AA$5*$C217+$AB$5,
  $C217&lt;$C$8,  $AA$6*$C217+$AB$6,
  $C217&lt;$C$9, $AA$7*$C217+$AB$7,
  $C217&lt;$C$10, $AA$8*$C217+$AB$8,
  $C217&lt;$C$11, $AA$9*$C217+$AB$9,
  $C217&lt;$C$12,  $AA$10*$C217+$AB$10,
  $C217&lt;$C$13, $AA$11*$C217+$AB$11,
  $AA$12*$C217+$AB$12
)</f>
        <v>1.1000000000000001</v>
      </c>
      <c r="G217" s="244" cm="1">
        <f t="array" ref="G217">_xlfn.SWITCH(TRUE,
  $C217&lt;$C$6,  $AC$4*$C217+$AD$4,
  $C217&lt;$C$7,  $AC$5*$C217+$AD$5,
  $C217&lt;$C$8,  $AC$6*$C217+$AD$6,
  $C217&lt;$C$9, $AC$7*$C217+$AD$7,
  $C217&lt;$C$10, $AC$8*$C217+$AD$8,
  $C217&lt;$C$11, $AC$9*$C217+$AD$9,
  $C217&lt;$C$12,  $AC$10*$C217+$AD$10,
  $C217&lt;$C$13, $AC$11*$C217+$AD$11,
  $AC$12*$C217+$AD$12
)</f>
        <v>3.7199999999999998</v>
      </c>
      <c r="H217" cm="1">
        <f t="array" ref="H217">_xlfn.LET(
  _xlpm.y,$C217,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7" cm="1">
        <f t="array" ref="I217">_xlfn.LET(
  _xlpm.y,$C217,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7" cm="1">
        <f t="array" ref="J217">_xlfn.LET(
  _xlpm.y,$C217,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7" cm="1">
        <f t="array" ref="K217">_xlfn.LET(
  _xlpm.y,$C217,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7" cm="1">
        <f t="array" ref="L217">_xlfn.LET(
  _xlpm.y,$C217,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7" cm="1">
        <f t="array" ref="M217">_xlfn.SWITCH(TRUE,
  $C217&lt;$C$6,  $D$5,
  $C217&lt;$C$7,  $D$6,
  $C217&lt;$C$8,  $D$7,
  $C217&lt;$C$9,  $D$8,
  $C217&lt;$C$10,  $D$9,
  $C217&lt;$C$11,  $D$10,
  $C217&lt;$C$12,  $D$11,
  $C217&lt;$C$13,  $D$12,
  $C217&lt;$C$14,  $D$13,
  $C217&lt;100,  $D$14,
)</f>
        <v>0</v>
      </c>
      <c r="N217">
        <f>主翼翼型1!$R$18*'主翼(平面形結果)'!H217+主翼翼型2!$R$18*'主翼(平面形結果)'!I217+主翼翼型3!$R$18*'主翼(平面形結果)'!J217+主翼翼型4!$R$18*'主翼(平面形結果)'!K217+主翼翼型5!$R$18*'主翼(平面形結果)'!L217</f>
        <v>14.593327618117016</v>
      </c>
      <c r="O217">
        <f t="shared" si="0"/>
        <v>160.52660379928719</v>
      </c>
    </row>
    <row r="218" spans="2:15">
      <c r="B218">
        <f>'主翼(型紙出力)'!B61</f>
        <v>10</v>
      </c>
      <c r="C218">
        <f>INT(('主翼(型紙出力)'!C61)*1000)/1000</f>
        <v>1.5249999999999999</v>
      </c>
      <c r="D218">
        <f>'主翼(型紙出力)'!E61</f>
        <v>0.15</v>
      </c>
      <c r="E218">
        <f>'主翼(重量推算)'!CE58</f>
        <v>3.5418440679382317</v>
      </c>
      <c r="F218" s="244" cm="1">
        <f t="array" ref="F218">_xlfn.SWITCH(TRUE,
  $C218&lt;$C$6,  $AA$4*$C218+$AB$4,
  $C218&lt;$C$7,  $AA$5*$C218+$AB$5,
  $C218&lt;$C$8,  $AA$6*$C218+$AB$6,
  $C218&lt;$C$9, $AA$7*$C218+$AB$7,
  $C218&lt;$C$10, $AA$8*$C218+$AB$8,
  $C218&lt;$C$11, $AA$9*$C218+$AB$9,
  $C218&lt;$C$12,  $AA$10*$C218+$AB$10,
  $C218&lt;$C$13, $AA$11*$C218+$AB$11,
  $AA$12*$C218+$AB$12
)</f>
        <v>1.1000000000000001</v>
      </c>
      <c r="G218" s="244" cm="1">
        <f t="array" ref="G218">_xlfn.SWITCH(TRUE,
  $C218&lt;$C$6,  $AC$4*$C218+$AD$4,
  $C218&lt;$C$7,  $AC$5*$C218+$AD$5,
  $C218&lt;$C$8,  $AC$6*$C218+$AD$6,
  $C218&lt;$C$9, $AC$7*$C218+$AD$7,
  $C218&lt;$C$10, $AC$8*$C218+$AD$8,
  $C218&lt;$C$11, $AC$9*$C218+$AD$9,
  $C218&lt;$C$12,  $AC$10*$C218+$AD$10,
  $C218&lt;$C$13, $AC$11*$C218+$AD$11,
  $AC$12*$C218+$AD$12
)</f>
        <v>3.7199999999999998</v>
      </c>
      <c r="H218" cm="1">
        <f t="array" ref="H218">_xlfn.LET(
  _xlpm.y,$C218,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8" cm="1">
        <f t="array" ref="I218">_xlfn.LET(
  _xlpm.y,$C218,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8" cm="1">
        <f t="array" ref="J218">_xlfn.LET(
  _xlpm.y,$C218,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8" cm="1">
        <f t="array" ref="K218">_xlfn.LET(
  _xlpm.y,$C218,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8" cm="1">
        <f t="array" ref="L218">_xlfn.LET(
  _xlpm.y,$C218,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8" cm="1">
        <f t="array" ref="M218">_xlfn.SWITCH(TRUE,
  $C218&lt;$C$6,  $D$5,
  $C218&lt;$C$7,  $D$6,
  $C218&lt;$C$8,  $D$7,
  $C218&lt;$C$9,  $D$8,
  $C218&lt;$C$10,  $D$9,
  $C218&lt;$C$11,  $D$10,
  $C218&lt;$C$12,  $D$11,
  $C218&lt;$C$13,  $D$12,
  $C218&lt;$C$14,  $D$13,
  $C218&lt;100,  $D$14,
)</f>
        <v>0</v>
      </c>
      <c r="N218">
        <f>主翼翼型1!$R$18*'主翼(平面形結果)'!H218+主翼翼型2!$R$18*'主翼(平面形結果)'!I218+主翼翼型3!$R$18*'主翼(平面形結果)'!J218+主翼翼型4!$R$18*'主翼(平面形結果)'!K218+主翼翼型5!$R$18*'主翼(平面形結果)'!L218</f>
        <v>14.593327618117016</v>
      </c>
      <c r="O218">
        <f t="shared" si="0"/>
        <v>160.52660379928719</v>
      </c>
    </row>
    <row r="219" spans="2:15">
      <c r="B219">
        <f>'主翼(型紙出力)'!B62</f>
        <v>11</v>
      </c>
      <c r="C219">
        <f>INT(('主翼(型紙出力)'!C62)*1000)/1000</f>
        <v>1.675</v>
      </c>
      <c r="D219">
        <f>'主翼(型紙出力)'!E62</f>
        <v>0.15</v>
      </c>
      <c r="E219">
        <f>'主翼(重量推算)'!CE59</f>
        <v>3.5206505713782015</v>
      </c>
      <c r="F219" s="244" cm="1">
        <f t="array" ref="F219">_xlfn.SWITCH(TRUE,
  $C219&lt;$C$6,  $AA$4*$C219+$AB$4,
  $C219&lt;$C$7,  $AA$5*$C219+$AB$5,
  $C219&lt;$C$8,  $AA$6*$C219+$AB$6,
  $C219&lt;$C$9, $AA$7*$C219+$AB$7,
  $C219&lt;$C$10, $AA$8*$C219+$AB$8,
  $C219&lt;$C$11, $AA$9*$C219+$AB$9,
  $C219&lt;$C$12,  $AA$10*$C219+$AB$10,
  $C219&lt;$C$13, $AA$11*$C219+$AB$11,
  $AA$12*$C219+$AB$12
)</f>
        <v>1.1000000000000001</v>
      </c>
      <c r="G219" s="244" cm="1">
        <f t="array" ref="G219">_xlfn.SWITCH(TRUE,
  $C219&lt;$C$6,  $AC$4*$C219+$AD$4,
  $C219&lt;$C$7,  $AC$5*$C219+$AD$5,
  $C219&lt;$C$8,  $AC$6*$C219+$AD$6,
  $C219&lt;$C$9, $AC$7*$C219+$AD$7,
  $C219&lt;$C$10, $AC$8*$C219+$AD$8,
  $C219&lt;$C$11, $AC$9*$C219+$AD$9,
  $C219&lt;$C$12,  $AC$10*$C219+$AD$10,
  $C219&lt;$C$13, $AC$11*$C219+$AD$11,
  $AC$12*$C219+$AD$12
)</f>
        <v>3.7199999999999998</v>
      </c>
      <c r="H219" cm="1">
        <f t="array" ref="H219">_xlfn.LET(
  _xlpm.y,$C219,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9" cm="1">
        <f t="array" ref="I219">_xlfn.LET(
  _xlpm.y,$C219,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9" cm="1">
        <f t="array" ref="J219">_xlfn.LET(
  _xlpm.y,$C219,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9" cm="1">
        <f t="array" ref="K219">_xlfn.LET(
  _xlpm.y,$C219,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9" cm="1">
        <f t="array" ref="L219">_xlfn.LET(
  _xlpm.y,$C219,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9" cm="1">
        <f t="array" ref="M219">_xlfn.SWITCH(TRUE,
  $C219&lt;$C$6,  $D$5,
  $C219&lt;$C$7,  $D$6,
  $C219&lt;$C$8,  $D$7,
  $C219&lt;$C$9,  $D$8,
  $C219&lt;$C$10,  $D$9,
  $C219&lt;$C$11,  $D$10,
  $C219&lt;$C$12,  $D$11,
  $C219&lt;$C$13,  $D$12,
  $C219&lt;$C$14,  $D$13,
  $C219&lt;100,  $D$14,
)</f>
        <v>0</v>
      </c>
      <c r="N219">
        <f>主翼翼型1!$R$18*'主翼(平面形結果)'!H219+主翼翼型2!$R$18*'主翼(平面形結果)'!I219+主翼翼型3!$R$18*'主翼(平面形結果)'!J219+主翼翼型4!$R$18*'主翼(平面形結果)'!K219+主翼翼型5!$R$18*'主翼(平面形結果)'!L219</f>
        <v>14.593327618117016</v>
      </c>
      <c r="O219">
        <f t="shared" si="0"/>
        <v>160.52660379928719</v>
      </c>
    </row>
    <row r="220" spans="2:15">
      <c r="B220">
        <f>'主翼(型紙出力)'!B63</f>
        <v>12</v>
      </c>
      <c r="C220">
        <f>INT(('主翼(型紙出力)'!C63)*1000)/1000</f>
        <v>1.825</v>
      </c>
      <c r="D220">
        <f>'主翼(型紙出力)'!E63</f>
        <v>0.15</v>
      </c>
      <c r="E220">
        <f>'主翼(重量推算)'!CE60</f>
        <v>2.511239508040255</v>
      </c>
      <c r="F220" s="244" cm="1">
        <f t="array" ref="F220">_xlfn.SWITCH(TRUE,
  $C220&lt;$C$6,  $AA$4*$C220+$AB$4,
  $C220&lt;$C$7,  $AA$5*$C220+$AB$5,
  $C220&lt;$C$8,  $AA$6*$C220+$AB$6,
  $C220&lt;$C$9, $AA$7*$C220+$AB$7,
  $C220&lt;$C$10, $AA$8*$C220+$AB$8,
  $C220&lt;$C$11, $AA$9*$C220+$AB$9,
  $C220&lt;$C$12,  $AA$10*$C220+$AB$10,
  $C220&lt;$C$13, $AA$11*$C220+$AB$11,
  $AA$12*$C220+$AB$12
)</f>
        <v>1.1000000000000001</v>
      </c>
      <c r="G220" s="244" cm="1">
        <f t="array" ref="G220">_xlfn.SWITCH(TRUE,
  $C220&lt;$C$6,  $AC$4*$C220+$AD$4,
  $C220&lt;$C$7,  $AC$5*$C220+$AD$5,
  $C220&lt;$C$8,  $AC$6*$C220+$AD$6,
  $C220&lt;$C$9, $AC$7*$C220+$AD$7,
  $C220&lt;$C$10, $AC$8*$C220+$AD$8,
  $C220&lt;$C$11, $AC$9*$C220+$AD$9,
  $C220&lt;$C$12,  $AC$10*$C220+$AD$10,
  $C220&lt;$C$13, $AC$11*$C220+$AD$11,
  $AC$12*$C220+$AD$12
)</f>
        <v>3.7199999999999998</v>
      </c>
      <c r="H220" cm="1">
        <f t="array" ref="H220">_xlfn.LET(
  _xlpm.y,$C220,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0" cm="1">
        <f t="array" ref="I220">_xlfn.LET(
  _xlpm.y,$C220,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0" cm="1">
        <f t="array" ref="J220">_xlfn.LET(
  _xlpm.y,$C220,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0" cm="1">
        <f t="array" ref="K220">_xlfn.LET(
  _xlpm.y,$C220,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0" cm="1">
        <f t="array" ref="L220">_xlfn.LET(
  _xlpm.y,$C220,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0" cm="1">
        <f t="array" ref="M220">_xlfn.SWITCH(TRUE,
  $C220&lt;$C$6,  $D$5,
  $C220&lt;$C$7,  $D$6,
  $C220&lt;$C$8,  $D$7,
  $C220&lt;$C$9,  $D$8,
  $C220&lt;$C$10,  $D$9,
  $C220&lt;$C$11,  $D$10,
  $C220&lt;$C$12,  $D$11,
  $C220&lt;$C$13,  $D$12,
  $C220&lt;$C$14,  $D$13,
  $C220&lt;100,  $D$14,
)</f>
        <v>0</v>
      </c>
      <c r="N220">
        <f>主翼翼型1!$R$18*'主翼(平面形結果)'!H220+主翼翼型2!$R$18*'主翼(平面形結果)'!I220+主翼翼型3!$R$18*'主翼(平面形結果)'!J220+主翼翼型4!$R$18*'主翼(平面形結果)'!K220+主翼翼型5!$R$18*'主翼(平面形結果)'!L220</f>
        <v>14.593327618117016</v>
      </c>
      <c r="O220">
        <f t="shared" si="0"/>
        <v>160.52660379928719</v>
      </c>
    </row>
    <row r="221" spans="2:15">
      <c r="B221">
        <f>'主翼(型紙出力)'!B64</f>
        <v>13</v>
      </c>
      <c r="C221">
        <f>INT(('主翼(型紙出力)'!C64)*1000)/1000</f>
        <v>1.9750000000000001</v>
      </c>
      <c r="D221">
        <f>'主翼(型紙出力)'!E64</f>
        <v>0.15</v>
      </c>
      <c r="E221">
        <f>'主翼(重量推算)'!CE61</f>
        <v>2.4898728872055385</v>
      </c>
      <c r="F221" s="244" cm="1">
        <f t="array" ref="F221">_xlfn.SWITCH(TRUE,
  $C221&lt;$C$6,  $AA$4*$C221+$AB$4,
  $C221&lt;$C$7,  $AA$5*$C221+$AB$5,
  $C221&lt;$C$8,  $AA$6*$C221+$AB$6,
  $C221&lt;$C$9, $AA$7*$C221+$AB$7,
  $C221&lt;$C$10, $AA$8*$C221+$AB$8,
  $C221&lt;$C$11, $AA$9*$C221+$AB$9,
  $C221&lt;$C$12,  $AA$10*$C221+$AB$10,
  $C221&lt;$C$13, $AA$11*$C221+$AB$11,
  $AA$12*$C221+$AB$12
)</f>
        <v>1.1000000000000001</v>
      </c>
      <c r="G221" s="244" cm="1">
        <f t="array" ref="G221">_xlfn.SWITCH(TRUE,
  $C221&lt;$C$6,  $AC$4*$C221+$AD$4,
  $C221&lt;$C$7,  $AC$5*$C221+$AD$5,
  $C221&lt;$C$8,  $AC$6*$C221+$AD$6,
  $C221&lt;$C$9, $AC$7*$C221+$AD$7,
  $C221&lt;$C$10, $AC$8*$C221+$AD$8,
  $C221&lt;$C$11, $AC$9*$C221+$AD$9,
  $C221&lt;$C$12,  $AC$10*$C221+$AD$10,
  $C221&lt;$C$13, $AC$11*$C221+$AD$11,
  $AC$12*$C221+$AD$12
)</f>
        <v>3.7199999999999998</v>
      </c>
      <c r="H221" cm="1">
        <f t="array" ref="H221">_xlfn.LET(
  _xlpm.y,$C221,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1" cm="1">
        <f t="array" ref="I221">_xlfn.LET(
  _xlpm.y,$C221,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1" cm="1">
        <f t="array" ref="J221">_xlfn.LET(
  _xlpm.y,$C221,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1" cm="1">
        <f t="array" ref="K221">_xlfn.LET(
  _xlpm.y,$C221,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1" cm="1">
        <f t="array" ref="L221">_xlfn.LET(
  _xlpm.y,$C221,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1" cm="1">
        <f t="array" ref="M221">_xlfn.SWITCH(TRUE,
  $C221&lt;$C$6,  $D$5,
  $C221&lt;$C$7,  $D$6,
  $C221&lt;$C$8,  $D$7,
  $C221&lt;$C$9,  $D$8,
  $C221&lt;$C$10,  $D$9,
  $C221&lt;$C$11,  $D$10,
  $C221&lt;$C$12,  $D$11,
  $C221&lt;$C$13,  $D$12,
  $C221&lt;$C$14,  $D$13,
  $C221&lt;100,  $D$14,
)</f>
        <v>0</v>
      </c>
      <c r="N221">
        <f>主翼翼型1!$R$18*'主翼(平面形結果)'!H221+主翼翼型2!$R$18*'主翼(平面形結果)'!I221+主翼翼型3!$R$18*'主翼(平面形結果)'!J221+主翼翼型4!$R$18*'主翼(平面形結果)'!K221+主翼翼型5!$R$18*'主翼(平面形結果)'!L221</f>
        <v>14.593327618117016</v>
      </c>
      <c r="O221">
        <f t="shared" si="0"/>
        <v>160.52660379928719</v>
      </c>
    </row>
    <row r="222" spans="2:15">
      <c r="B222">
        <f>'主翼(型紙出力)'!B65</f>
        <v>14</v>
      </c>
      <c r="C222">
        <f>INT(('主翼(型紙出力)'!C65)*1000)/1000</f>
        <v>2.125</v>
      </c>
      <c r="D222">
        <f>'主翼(型紙出力)'!E65</f>
        <v>0.15</v>
      </c>
      <c r="E222">
        <f>'主翼(重量推算)'!CE62</f>
        <v>2.4685062663708219</v>
      </c>
      <c r="F222" s="244" cm="1">
        <f t="array" ref="F222">_xlfn.SWITCH(TRUE,
  $C222&lt;$C$6,  $AA$4*$C222+$AB$4,
  $C222&lt;$C$7,  $AA$5*$C222+$AB$5,
  $C222&lt;$C$8,  $AA$6*$C222+$AB$6,
  $C222&lt;$C$9, $AA$7*$C222+$AB$7,
  $C222&lt;$C$10, $AA$8*$C222+$AB$8,
  $C222&lt;$C$11, $AA$9*$C222+$AB$9,
  $C222&lt;$C$12,  $AA$10*$C222+$AB$10,
  $C222&lt;$C$13, $AA$11*$C222+$AB$11,
  $AA$12*$C222+$AB$12
)</f>
        <v>1.1000000000000001</v>
      </c>
      <c r="G222" s="244" cm="1">
        <f t="array" ref="G222">_xlfn.SWITCH(TRUE,
  $C222&lt;$C$6,  $AC$4*$C222+$AD$4,
  $C222&lt;$C$7,  $AC$5*$C222+$AD$5,
  $C222&lt;$C$8,  $AC$6*$C222+$AD$6,
  $C222&lt;$C$9, $AC$7*$C222+$AD$7,
  $C222&lt;$C$10, $AC$8*$C222+$AD$8,
  $C222&lt;$C$11, $AC$9*$C222+$AD$9,
  $C222&lt;$C$12,  $AC$10*$C222+$AD$10,
  $C222&lt;$C$13, $AC$11*$C222+$AD$11,
  $AC$12*$C222+$AD$12
)</f>
        <v>3.7199999999999998</v>
      </c>
      <c r="H222" cm="1">
        <f t="array" ref="H222">_xlfn.LET(
  _xlpm.y,$C222,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2" cm="1">
        <f t="array" ref="I222">_xlfn.LET(
  _xlpm.y,$C222,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2" cm="1">
        <f t="array" ref="J222">_xlfn.LET(
  _xlpm.y,$C222,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2" cm="1">
        <f t="array" ref="K222">_xlfn.LET(
  _xlpm.y,$C222,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2" cm="1">
        <f t="array" ref="L222">_xlfn.LET(
  _xlpm.y,$C222,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2" cm="1">
        <f t="array" ref="M222">_xlfn.SWITCH(TRUE,
  $C222&lt;$C$6,  $D$5,
  $C222&lt;$C$7,  $D$6,
  $C222&lt;$C$8,  $D$7,
  $C222&lt;$C$9,  $D$8,
  $C222&lt;$C$10,  $D$9,
  $C222&lt;$C$11,  $D$10,
  $C222&lt;$C$12,  $D$11,
  $C222&lt;$C$13,  $D$12,
  $C222&lt;$C$14,  $D$13,
  $C222&lt;100,  $D$14,
)</f>
        <v>0</v>
      </c>
      <c r="N222">
        <f>主翼翼型1!$R$18*'主翼(平面形結果)'!H222+主翼翼型2!$R$18*'主翼(平面形結果)'!I222+主翼翼型3!$R$18*'主翼(平面形結果)'!J222+主翼翼型4!$R$18*'主翼(平面形結果)'!K222+主翼翼型5!$R$18*'主翼(平面形結果)'!L222</f>
        <v>14.593327618117016</v>
      </c>
      <c r="O222">
        <f t="shared" si="0"/>
        <v>160.52660379928719</v>
      </c>
    </row>
    <row r="223" spans="2:15">
      <c r="B223">
        <f>'主翼(型紙出力)'!B66</f>
        <v>15</v>
      </c>
      <c r="C223">
        <f>INT(('主翼(型紙出力)'!C66)*1000)/1000</f>
        <v>2.2749999999999999</v>
      </c>
      <c r="D223">
        <f>'主翼(型紙出力)'!E66</f>
        <v>0.15</v>
      </c>
      <c r="E223">
        <f>'主翼(重量推算)'!CE63</f>
        <v>2.4471396455361072</v>
      </c>
      <c r="F223" s="244" cm="1">
        <f t="array" ref="F223">_xlfn.SWITCH(TRUE,
  $C223&lt;$C$6,  $AA$4*$C223+$AB$4,
  $C223&lt;$C$7,  $AA$5*$C223+$AB$5,
  $C223&lt;$C$8,  $AA$6*$C223+$AB$6,
  $C223&lt;$C$9, $AA$7*$C223+$AB$7,
  $C223&lt;$C$10, $AA$8*$C223+$AB$8,
  $C223&lt;$C$11, $AA$9*$C223+$AB$9,
  $C223&lt;$C$12,  $AA$10*$C223+$AB$10,
  $C223&lt;$C$13, $AA$11*$C223+$AB$11,
  $AA$12*$C223+$AB$12
)</f>
        <v>1.1000000000000001</v>
      </c>
      <c r="G223" s="244" cm="1">
        <f t="array" ref="G223">_xlfn.SWITCH(TRUE,
  $C223&lt;$C$6,  $AC$4*$C223+$AD$4,
  $C223&lt;$C$7,  $AC$5*$C223+$AD$5,
  $C223&lt;$C$8,  $AC$6*$C223+$AD$6,
  $C223&lt;$C$9, $AC$7*$C223+$AD$7,
  $C223&lt;$C$10, $AC$8*$C223+$AD$8,
  $C223&lt;$C$11, $AC$9*$C223+$AD$9,
  $C223&lt;$C$12,  $AC$10*$C223+$AD$10,
  $C223&lt;$C$13, $AC$11*$C223+$AD$11,
  $AC$12*$C223+$AD$12
)</f>
        <v>3.7199999999999998</v>
      </c>
      <c r="H223" cm="1">
        <f t="array" ref="H223">_xlfn.LET(
  _xlpm.y,$C223,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3" cm="1">
        <f t="array" ref="I223">_xlfn.LET(
  _xlpm.y,$C223,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3" cm="1">
        <f t="array" ref="J223">_xlfn.LET(
  _xlpm.y,$C223,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3" cm="1">
        <f t="array" ref="K223">_xlfn.LET(
  _xlpm.y,$C223,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3" cm="1">
        <f t="array" ref="L223">_xlfn.LET(
  _xlpm.y,$C223,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3" cm="1">
        <f t="array" ref="M223">_xlfn.SWITCH(TRUE,
  $C223&lt;$C$6,  $D$5,
  $C223&lt;$C$7,  $D$6,
  $C223&lt;$C$8,  $D$7,
  $C223&lt;$C$9,  $D$8,
  $C223&lt;$C$10,  $D$9,
  $C223&lt;$C$11,  $D$10,
  $C223&lt;$C$12,  $D$11,
  $C223&lt;$C$13,  $D$12,
  $C223&lt;$C$14,  $D$13,
  $C223&lt;100,  $D$14,
)</f>
        <v>0</v>
      </c>
      <c r="N223">
        <f>主翼翼型1!$R$18*'主翼(平面形結果)'!H223+主翼翼型2!$R$18*'主翼(平面形結果)'!I223+主翼翼型3!$R$18*'主翼(平面形結果)'!J223+主翼翼型4!$R$18*'主翼(平面形結果)'!K223+主翼翼型5!$R$18*'主翼(平面形結果)'!L223</f>
        <v>14.593327618117016</v>
      </c>
      <c r="O223">
        <f t="shared" si="0"/>
        <v>160.52660379928719</v>
      </c>
    </row>
    <row r="224" spans="2:15">
      <c r="B224">
        <f>'主翼(型紙出力)'!B67</f>
        <v>16</v>
      </c>
      <c r="C224">
        <f>INT(('主翼(型紙出力)'!C67)*1000)/1000</f>
        <v>2.4249999999999998</v>
      </c>
      <c r="D224">
        <f>'主翼(型紙出力)'!E67</f>
        <v>0.15</v>
      </c>
      <c r="E224">
        <f>'主翼(重量推算)'!CE64</f>
        <v>2.4148921326727226</v>
      </c>
      <c r="F224" s="244" cm="1">
        <f t="array" ref="F224">_xlfn.SWITCH(TRUE,
  $C224&lt;$C$6,  $AA$4*$C224+$AB$4,
  $C224&lt;$C$7,  $AA$5*$C224+$AB$5,
  $C224&lt;$C$8,  $AA$6*$C224+$AB$6,
  $C224&lt;$C$9, $AA$7*$C224+$AB$7,
  $C224&lt;$C$10, $AA$8*$C224+$AB$8,
  $C224&lt;$C$11, $AA$9*$C224+$AB$9,
  $C224&lt;$C$12,  $AA$10*$C224+$AB$10,
  $C224&lt;$C$13, $AA$11*$C224+$AB$11,
  $AA$12*$C224+$AB$12
)</f>
        <v>1.088233009708738</v>
      </c>
      <c r="G224" s="244" cm="1">
        <f t="array" ref="G224">_xlfn.SWITCH(TRUE,
  $C224&lt;$C$6,  $AC$4*$C224+$AD$4,
  $C224&lt;$C$7,  $AC$5*$C224+$AD$5,
  $C224&lt;$C$8,  $AC$6*$C224+$AD$6,
  $C224&lt;$C$9, $AC$7*$C224+$AD$7,
  $C224&lt;$C$10, $AC$8*$C224+$AD$8,
  $C224&lt;$C$11, $AC$9*$C224+$AD$9,
  $C224&lt;$C$12,  $AC$10*$C224+$AD$10,
  $C224&lt;$C$13, $AC$11*$C224+$AD$11,
  $AC$12*$C224+$AD$12
)</f>
        <v>3.717669902912621</v>
      </c>
      <c r="H224" cm="1">
        <f t="array" ref="H224">_xlfn.LET(
  _xlpm.y,$C224,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0.94174757281553401</v>
      </c>
      <c r="I224" cm="1">
        <f t="array" ref="I224">_xlfn.LET(
  _xlpm.y,$C224,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5.8252427184465994E-2</v>
      </c>
      <c r="J224" cm="1">
        <f t="array" ref="J224">_xlfn.LET(
  _xlpm.y,$C224,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4" cm="1">
        <f t="array" ref="K224">_xlfn.LET(
  _xlpm.y,$C224,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4" cm="1">
        <f t="array" ref="L224">_xlfn.LET(
  _xlpm.y,$C224,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4" cm="1">
        <f t="array" ref="M224">_xlfn.SWITCH(TRUE,
  $C224&lt;$C$6,  $D$5,
  $C224&lt;$C$7,  $D$6,
  $C224&lt;$C$8,  $D$7,
  $C224&lt;$C$9,  $D$8,
  $C224&lt;$C$10,  $D$9,
  $C224&lt;$C$11,  $D$10,
  $C224&lt;$C$12,  $D$11,
  $C224&lt;$C$13,  $D$12,
  $C224&lt;$C$14,  $D$13,
  $C224&lt;100,  $D$14,
)</f>
        <v>0</v>
      </c>
      <c r="N224">
        <f>主翼翼型1!$R$18*'主翼(平面形結果)'!H224+主翼翼型2!$R$18*'主翼(平面形結果)'!I224+主翼翼型3!$R$18*'主翼(平面形結果)'!J224+主翼翼型4!$R$18*'主翼(平面形結果)'!K224+主翼翼型5!$R$18*'主翼(平面形結果)'!L224</f>
        <v>14.558197797416296</v>
      </c>
      <c r="O224">
        <f t="shared" si="0"/>
        <v>158.42711405017457</v>
      </c>
    </row>
    <row r="225" spans="2:15">
      <c r="B225">
        <f>'主翼(型紙出力)'!B68</f>
        <v>17</v>
      </c>
      <c r="C225">
        <f>INT(('主翼(型紙出力)'!C68)*1000)/1000</f>
        <v>2.5750000000000002</v>
      </c>
      <c r="D225">
        <f>'主翼(型紙出力)'!E68</f>
        <v>0.15</v>
      </c>
      <c r="E225">
        <f>'主翼(重量推算)'!CE65</f>
        <v>2.3827334815852153</v>
      </c>
      <c r="F225" s="244" cm="1">
        <f t="array" ref="F225">_xlfn.SWITCH(TRUE,
  $C225&lt;$C$6,  $AA$4*$C225+$AB$4,
  $C225&lt;$C$7,  $AA$5*$C225+$AB$5,
  $C225&lt;$C$8,  $AA$6*$C225+$AB$6,
  $C225&lt;$C$9, $AA$7*$C225+$AB$7,
  $C225&lt;$C$10, $AA$8*$C225+$AB$8,
  $C225&lt;$C$11, $AA$9*$C225+$AB$9,
  $C225&lt;$C$12,  $AA$10*$C225+$AB$10,
  $C225&lt;$C$13, $AA$11*$C225+$AB$11,
  $AA$12*$C225+$AB$12
)</f>
        <v>1.0764660194174758</v>
      </c>
      <c r="G225" s="244" cm="1">
        <f t="array" ref="G225">_xlfn.SWITCH(TRUE,
  $C225&lt;$C$6,  $AC$4*$C225+$AD$4,
  $C225&lt;$C$7,  $AC$5*$C225+$AD$5,
  $C225&lt;$C$8,  $AC$6*$C225+$AD$6,
  $C225&lt;$C$9, $AC$7*$C225+$AD$7,
  $C225&lt;$C$10, $AC$8*$C225+$AD$8,
  $C225&lt;$C$11, $AC$9*$C225+$AD$9,
  $C225&lt;$C$12,  $AC$10*$C225+$AD$10,
  $C225&lt;$C$13, $AC$11*$C225+$AD$11,
  $AC$12*$C225+$AD$12
)</f>
        <v>3.7153398058252423</v>
      </c>
      <c r="H225" cm="1">
        <f t="array" ref="H225">_xlfn.LET(
  _xlpm.y,$C225,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0.88349514563106779</v>
      </c>
      <c r="I225" cm="1">
        <f t="array" ref="I225">_xlfn.LET(
  _xlpm.y,$C225,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0.11650485436893215</v>
      </c>
      <c r="J225" cm="1">
        <f t="array" ref="J225">_xlfn.LET(
  _xlpm.y,$C225,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5" cm="1">
        <f t="array" ref="K225">_xlfn.LET(
  _xlpm.y,$C225,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5" cm="1">
        <f t="array" ref="L225">_xlfn.LET(
  _xlpm.y,$C225,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5" cm="1">
        <f t="array" ref="M225">_xlfn.SWITCH(TRUE,
  $C225&lt;$C$6,  $D$5,
  $C225&lt;$C$7,  $D$6,
  $C225&lt;$C$8,  $D$7,
  $C225&lt;$C$9,  $D$8,
  $C225&lt;$C$10,  $D$9,
  $C225&lt;$C$11,  $D$10,
  $C225&lt;$C$12,  $D$11,
  $C225&lt;$C$13,  $D$12,
  $C225&lt;$C$14,  $D$13,
  $C225&lt;100,  $D$14,
)</f>
        <v>0</v>
      </c>
      <c r="N225">
        <f>主翼翼型1!$R$18*'主翼(平面形結果)'!H225+主翼翼型2!$R$18*'主翼(平面形結果)'!I225+主翼翼型3!$R$18*'主翼(平面形結果)'!J225+主翼翼型4!$R$18*'主翼(平面形結果)'!K225+主翼翼型5!$R$18*'主翼(平面形結果)'!L225</f>
        <v>14.523067976715575</v>
      </c>
      <c r="O225">
        <f t="shared" si="0"/>
        <v>156.3358917462443</v>
      </c>
    </row>
    <row r="226" spans="2:15">
      <c r="B226">
        <f>'主翼(型紙出力)'!B69</f>
        <v>18</v>
      </c>
      <c r="C226">
        <f>INT(('主翼(型紙出力)'!C69)*1000)/1000</f>
        <v>2.7250000000000001</v>
      </c>
      <c r="D226">
        <f>'主翼(型紙出力)'!E69</f>
        <v>0.15</v>
      </c>
      <c r="E226">
        <f>'主翼(重量推算)'!CE66</f>
        <v>2.3506642517137526</v>
      </c>
      <c r="F226" s="244" cm="1">
        <f t="array" ref="F226">_xlfn.SWITCH(TRUE,
  $C226&lt;$C$6,  $AA$4*$C226+$AB$4,
  $C226&lt;$C$7,  $AA$5*$C226+$AB$5,
  $C226&lt;$C$8,  $AA$6*$C226+$AB$6,
  $C226&lt;$C$9, $AA$7*$C226+$AB$7,
  $C226&lt;$C$10, $AA$8*$C226+$AB$8,
  $C226&lt;$C$11, $AA$9*$C226+$AB$9,
  $C226&lt;$C$12,  $AA$10*$C226+$AB$10,
  $C226&lt;$C$13, $AA$11*$C226+$AB$11,
  $AA$12*$C226+$AB$12
)</f>
        <v>1.0646990291262137</v>
      </c>
      <c r="G226" s="244" cm="1">
        <f t="array" ref="G226">_xlfn.SWITCH(TRUE,
  $C226&lt;$C$6,  $AC$4*$C226+$AD$4,
  $C226&lt;$C$7,  $AC$5*$C226+$AD$5,
  $C226&lt;$C$8,  $AC$6*$C226+$AD$6,
  $C226&lt;$C$9, $AC$7*$C226+$AD$7,
  $C226&lt;$C$10, $AC$8*$C226+$AD$8,
  $C226&lt;$C$11, $AC$9*$C226+$AD$9,
  $C226&lt;$C$12,  $AC$10*$C226+$AD$10,
  $C226&lt;$C$13, $AC$11*$C226+$AD$11,
  $AC$12*$C226+$AD$12
)</f>
        <v>3.7130097087378635</v>
      </c>
      <c r="H226" cm="1">
        <f t="array" ref="H226">_xlfn.LET(
  _xlpm.y,$C226,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0.8252427184466018</v>
      </c>
      <c r="I226" cm="1">
        <f t="array" ref="I226">_xlfn.LET(
  _xlpm.y,$C226,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0.17475728155339815</v>
      </c>
      <c r="J226" cm="1">
        <f t="array" ref="J226">_xlfn.LET(
  _xlpm.y,$C226,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6" cm="1">
        <f t="array" ref="K226">_xlfn.LET(
  _xlpm.y,$C226,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6" cm="1">
        <f t="array" ref="L226">_xlfn.LET(
  _xlpm.y,$C226,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6" cm="1">
        <f t="array" ref="M226">_xlfn.SWITCH(TRUE,
  $C226&lt;$C$6,  $D$5,
  $C226&lt;$C$7,  $D$6,
  $C226&lt;$C$8,  $D$7,
  $C226&lt;$C$9,  $D$8,
  $C226&lt;$C$10,  $D$9,
  $C226&lt;$C$11,  $D$10,
  $C226&lt;$C$12,  $D$11,
  $C226&lt;$C$13,  $D$12,
  $C226&lt;$C$14,  $D$13,
  $C226&lt;100,  $D$14,
)</f>
        <v>0</v>
      </c>
      <c r="N226">
        <f>主翼翼型1!$R$18*'主翼(平面形結果)'!H226+主翼翼型2!$R$18*'主翼(平面形結果)'!I226+主翼翼型3!$R$18*'主翼(平面形結果)'!J226+主翼翼型4!$R$18*'主翼(平面形結果)'!K226+主翼翼型5!$R$18*'主翼(平面形結果)'!L226</f>
        <v>14.487938156014856</v>
      </c>
      <c r="O226">
        <f t="shared" si="0"/>
        <v>154.25293688749645</v>
      </c>
    </row>
    <row r="227" spans="2:15">
      <c r="B227">
        <f>'主翼(型紙出力)'!B70</f>
        <v>19</v>
      </c>
      <c r="C227">
        <f>INT(('主翼(型紙出力)'!C70)*1000)/1000</f>
        <v>2.875</v>
      </c>
      <c r="D227">
        <f>'主翼(型紙出力)'!E70</f>
        <v>0.15</v>
      </c>
      <c r="E227">
        <f>'主翼(重量推算)'!CE67</f>
        <v>2.3186841318942202</v>
      </c>
      <c r="F227" s="244" cm="1">
        <f t="array" ref="F227">_xlfn.SWITCH(TRUE,
  $C227&lt;$C$6,  $AA$4*$C227+$AB$4,
  $C227&lt;$C$7,  $AA$5*$C227+$AB$5,
  $C227&lt;$C$8,  $AA$6*$C227+$AB$6,
  $C227&lt;$C$9, $AA$7*$C227+$AB$7,
  $C227&lt;$C$10, $AA$8*$C227+$AB$8,
  $C227&lt;$C$11, $AA$9*$C227+$AB$9,
  $C227&lt;$C$12,  $AA$10*$C227+$AB$10,
  $C227&lt;$C$13, $AA$11*$C227+$AB$11,
  $AA$12*$C227+$AB$12
)</f>
        <v>1.0529320388349515</v>
      </c>
      <c r="G227" s="244" cm="1">
        <f t="array" ref="G227">_xlfn.SWITCH(TRUE,
  $C227&lt;$C$6,  $AC$4*$C227+$AD$4,
  $C227&lt;$C$7,  $AC$5*$C227+$AD$5,
  $C227&lt;$C$8,  $AC$6*$C227+$AD$6,
  $C227&lt;$C$9, $AC$7*$C227+$AD$7,
  $C227&lt;$C$10, $AC$8*$C227+$AD$8,
  $C227&lt;$C$11, $AC$9*$C227+$AD$9,
  $C227&lt;$C$12,  $AC$10*$C227+$AD$10,
  $C227&lt;$C$13, $AC$11*$C227+$AD$11,
  $AC$12*$C227+$AD$12
)</f>
        <v>3.7106796116504848</v>
      </c>
      <c r="H227" cm="1">
        <f t="array" ref="H227">_xlfn.LET(
  _xlpm.y,$C227,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0.7669902912621358</v>
      </c>
      <c r="I227" cm="1">
        <f t="array" ref="I227">_xlfn.LET(
  _xlpm.y,$C227,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0.23300970873786414</v>
      </c>
      <c r="J227" cm="1">
        <f t="array" ref="J227">_xlfn.LET(
  _xlpm.y,$C227,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7" cm="1">
        <f t="array" ref="K227">_xlfn.LET(
  _xlpm.y,$C227,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7" cm="1">
        <f t="array" ref="L227">_xlfn.LET(
  _xlpm.y,$C227,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7" cm="1">
        <f t="array" ref="M227">_xlfn.SWITCH(TRUE,
  $C227&lt;$C$6,  $D$5,
  $C227&lt;$C$7,  $D$6,
  $C227&lt;$C$8,  $D$7,
  $C227&lt;$C$9,  $D$8,
  $C227&lt;$C$10,  $D$9,
  $C227&lt;$C$11,  $D$10,
  $C227&lt;$C$12,  $D$11,
  $C227&lt;$C$13,  $D$12,
  $C227&lt;$C$14,  $D$13,
  $C227&lt;100,  $D$14,
)</f>
        <v>0</v>
      </c>
      <c r="N227">
        <f>主翼翼型1!$R$18*'主翼(平面形結果)'!H227+主翼翼型2!$R$18*'主翼(平面形結果)'!I227+主翼翼型3!$R$18*'主翼(平面形結果)'!J227+主翼翼型4!$R$18*'主翼(平面形結果)'!K227+主翼翼型5!$R$18*'主翼(平面形結果)'!L227</f>
        <v>14.452808335314135</v>
      </c>
      <c r="O227">
        <f t="shared" si="0"/>
        <v>152.17824947393092</v>
      </c>
    </row>
    <row r="228" spans="2:15">
      <c r="B228">
        <f>'主翼(型紙出力)'!B71</f>
        <v>20</v>
      </c>
      <c r="C228">
        <f>INT(('主翼(型紙出力)'!C71)*1000)/1000</f>
        <v>3.0249999999999999</v>
      </c>
      <c r="D228">
        <f>'主翼(型紙出力)'!E71</f>
        <v>0.15</v>
      </c>
      <c r="E228">
        <f>'主翼(重量推算)'!CE68</f>
        <v>2.2867928109038465</v>
      </c>
      <c r="F228" s="244" cm="1">
        <f t="array" ref="F228">_xlfn.SWITCH(TRUE,
  $C228&lt;$C$6,  $AA$4*$C228+$AB$4,
  $C228&lt;$C$7,  $AA$5*$C228+$AB$5,
  $C228&lt;$C$8,  $AA$6*$C228+$AB$6,
  $C228&lt;$C$9, $AA$7*$C228+$AB$7,
  $C228&lt;$C$10, $AA$8*$C228+$AB$8,
  $C228&lt;$C$11, $AA$9*$C228+$AB$9,
  $C228&lt;$C$12,  $AA$10*$C228+$AB$10,
  $C228&lt;$C$13, $AA$11*$C228+$AB$11,
  $AA$12*$C228+$AB$12
)</f>
        <v>1.0411650485436894</v>
      </c>
      <c r="G228" s="244" cm="1">
        <f t="array" ref="G228">_xlfn.SWITCH(TRUE,
  $C228&lt;$C$6,  $AC$4*$C228+$AD$4,
  $C228&lt;$C$7,  $AC$5*$C228+$AD$5,
  $C228&lt;$C$8,  $AC$6*$C228+$AD$6,
  $C228&lt;$C$9, $AC$7*$C228+$AD$7,
  $C228&lt;$C$10, $AC$8*$C228+$AD$8,
  $C228&lt;$C$11, $AC$9*$C228+$AD$9,
  $C228&lt;$C$12,  $AC$10*$C228+$AD$10,
  $C228&lt;$C$13, $AC$11*$C228+$AD$11,
  $AC$12*$C228+$AD$12
)</f>
        <v>3.7083495145631065</v>
      </c>
      <c r="H228" cm="1">
        <f t="array" ref="H228">_xlfn.LET(
  _xlpm.y,$C228,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0.70873786407766981</v>
      </c>
      <c r="I228" cm="1">
        <f t="array" ref="I228">_xlfn.LET(
  _xlpm.y,$C228,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0.29126213592233013</v>
      </c>
      <c r="J228" cm="1">
        <f t="array" ref="J228">_xlfn.LET(
  _xlpm.y,$C228,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8" cm="1">
        <f t="array" ref="K228">_xlfn.LET(
  _xlpm.y,$C228,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8" cm="1">
        <f t="array" ref="L228">_xlfn.LET(
  _xlpm.y,$C228,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8" cm="1">
        <f t="array" ref="M228">_xlfn.SWITCH(TRUE,
  $C228&lt;$C$6,  $D$5,
  $C228&lt;$C$7,  $D$6,
  $C228&lt;$C$8,  $D$7,
  $C228&lt;$C$9,  $D$8,
  $C228&lt;$C$10,  $D$9,
  $C228&lt;$C$11,  $D$10,
  $C228&lt;$C$12,  $D$11,
  $C228&lt;$C$13,  $D$12,
  $C228&lt;$C$14,  $D$13,
  $C228&lt;100,  $D$14,
)</f>
        <v>0</v>
      </c>
      <c r="N228">
        <f>主翼翼型1!$R$18*'主翼(平面形結果)'!H228+主翼翼型2!$R$18*'主翼(平面形結果)'!I228+主翼翼型3!$R$18*'主翼(平面形結果)'!J228+主翼翼型4!$R$18*'主翼(平面形結果)'!K228+主翼翼型5!$R$18*'主翼(平面形結果)'!L228</f>
        <v>14.417678514613415</v>
      </c>
      <c r="O228">
        <f t="shared" si="0"/>
        <v>150.11182950554786</v>
      </c>
    </row>
    <row r="229" spans="2:15">
      <c r="B229">
        <f>'主翼(型紙出力)'!B72</f>
        <v>21</v>
      </c>
      <c r="C229">
        <f>INT(('主翼(型紙出力)'!C72)*1000)/1000</f>
        <v>3.1749999999999998</v>
      </c>
      <c r="D229">
        <f>'主翼(型紙出力)'!E72</f>
        <v>0.15</v>
      </c>
      <c r="E229">
        <f>'主翼(重量推算)'!CE69</f>
        <v>2.2549899774631261</v>
      </c>
      <c r="F229" s="244" cm="1">
        <f t="array" ref="F229">_xlfn.SWITCH(TRUE,
  $C229&lt;$C$6,  $AA$4*$C229+$AB$4,
  $C229&lt;$C$7,  $AA$5*$C229+$AB$5,
  $C229&lt;$C$8,  $AA$6*$C229+$AB$6,
  $C229&lt;$C$9, $AA$7*$C229+$AB$7,
  $C229&lt;$C$10, $AA$8*$C229+$AB$8,
  $C229&lt;$C$11, $AA$9*$C229+$AB$9,
  $C229&lt;$C$12,  $AA$10*$C229+$AB$10,
  $C229&lt;$C$13, $AA$11*$C229+$AB$11,
  $AA$12*$C229+$AB$12
)</f>
        <v>1.0293980582524274</v>
      </c>
      <c r="G229" s="244" cm="1">
        <f t="array" ref="G229">_xlfn.SWITCH(TRUE,
  $C229&lt;$C$6,  $AC$4*$C229+$AD$4,
  $C229&lt;$C$7,  $AC$5*$C229+$AD$5,
  $C229&lt;$C$8,  $AC$6*$C229+$AD$6,
  $C229&lt;$C$9, $AC$7*$C229+$AD$7,
  $C229&lt;$C$10, $AC$8*$C229+$AD$8,
  $C229&lt;$C$11, $AC$9*$C229+$AD$9,
  $C229&lt;$C$12,  $AC$10*$C229+$AD$10,
  $C229&lt;$C$13, $AC$11*$C229+$AD$11,
  $AC$12*$C229+$AD$12
)</f>
        <v>3.7060194174757277</v>
      </c>
      <c r="H229" cm="1">
        <f t="array" ref="H229">_xlfn.LET(
  _xlpm.y,$C229,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0.65048543689320382</v>
      </c>
      <c r="I229" cm="1">
        <f t="array" ref="I229">_xlfn.LET(
  _xlpm.y,$C229,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0.34951456310679613</v>
      </c>
      <c r="J229" cm="1">
        <f t="array" ref="J229">_xlfn.LET(
  _xlpm.y,$C229,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9" cm="1">
        <f t="array" ref="K229">_xlfn.LET(
  _xlpm.y,$C229,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9" cm="1">
        <f t="array" ref="L229">_xlfn.LET(
  _xlpm.y,$C229,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9" cm="1">
        <f t="array" ref="M229">_xlfn.SWITCH(TRUE,
  $C229&lt;$C$6,  $D$5,
  $C229&lt;$C$7,  $D$6,
  $C229&lt;$C$8,  $D$7,
  $C229&lt;$C$9,  $D$8,
  $C229&lt;$C$10,  $D$9,
  $C229&lt;$C$11,  $D$10,
  $C229&lt;$C$12,  $D$11,
  $C229&lt;$C$13,  $D$12,
  $C229&lt;$C$14,  $D$13,
  $C229&lt;100,  $D$14,
)</f>
        <v>0</v>
      </c>
      <c r="N229">
        <f>主翼翼型1!$R$18*'主翼(平面形結果)'!H229+主翼翼型2!$R$18*'主翼(平面形結果)'!I229+主翼翼型3!$R$18*'主翼(平面形結果)'!J229+主翼翼型4!$R$18*'主翼(平面形結果)'!K229+主翼翼型5!$R$18*'主翼(平面形結果)'!L229</f>
        <v>14.382548693912696</v>
      </c>
      <c r="O229">
        <f t="shared" si="0"/>
        <v>148.05367698234716</v>
      </c>
    </row>
    <row r="230" spans="2:15">
      <c r="B230">
        <f>'主翼(型紙出力)'!B73</f>
        <v>22</v>
      </c>
      <c r="C230">
        <f>INT(('主翼(型紙出力)'!C73)*1000)/1000</f>
        <v>3.3250000000000002</v>
      </c>
      <c r="D230">
        <f>'主翼(型紙出力)'!E73</f>
        <v>0.15</v>
      </c>
      <c r="E230">
        <f>'主翼(重量推算)'!CE70</f>
        <v>2.2232753202377835</v>
      </c>
      <c r="F230" s="244" cm="1">
        <f t="array" ref="F230">_xlfn.SWITCH(TRUE,
  $C230&lt;$C$6,  $AA$4*$C230+$AB$4,
  $C230&lt;$C$7,  $AA$5*$C230+$AB$5,
  $C230&lt;$C$8,  $AA$6*$C230+$AB$6,
  $C230&lt;$C$9, $AA$7*$C230+$AB$7,
  $C230&lt;$C$10, $AA$8*$C230+$AB$8,
  $C230&lt;$C$11, $AA$9*$C230+$AB$9,
  $C230&lt;$C$12,  $AA$10*$C230+$AB$10,
  $C230&lt;$C$13, $AA$11*$C230+$AB$11,
  $AA$12*$C230+$AB$12
)</f>
        <v>1.0176310679611651</v>
      </c>
      <c r="G230" s="244" cm="1">
        <f t="array" ref="G230">_xlfn.SWITCH(TRUE,
  $C230&lt;$C$6,  $AC$4*$C230+$AD$4,
  $C230&lt;$C$7,  $AC$5*$C230+$AD$5,
  $C230&lt;$C$8,  $AC$6*$C230+$AD$6,
  $C230&lt;$C$9, $AC$7*$C230+$AD$7,
  $C230&lt;$C$10, $AC$8*$C230+$AD$8,
  $C230&lt;$C$11, $AC$9*$C230+$AD$9,
  $C230&lt;$C$12,  $AC$10*$C230+$AD$10,
  $C230&lt;$C$13, $AC$11*$C230+$AD$11,
  $AC$12*$C230+$AD$12
)</f>
        <v>3.703689320388349</v>
      </c>
      <c r="H230" cm="1">
        <f t="array" ref="H230">_xlfn.LET(
  _xlpm.y,$C230,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0.59223300970873771</v>
      </c>
      <c r="I230" cm="1">
        <f t="array" ref="I230">_xlfn.LET(
  _xlpm.y,$C230,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0.40776699029126229</v>
      </c>
      <c r="J230" cm="1">
        <f t="array" ref="J230">_xlfn.LET(
  _xlpm.y,$C230,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0" cm="1">
        <f t="array" ref="K230">_xlfn.LET(
  _xlpm.y,$C230,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0" cm="1">
        <f t="array" ref="L230">_xlfn.LET(
  _xlpm.y,$C230,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0" cm="1">
        <f t="array" ref="M230">_xlfn.SWITCH(TRUE,
  $C230&lt;$C$6,  $D$5,
  $C230&lt;$C$7,  $D$6,
  $C230&lt;$C$8,  $D$7,
  $C230&lt;$C$9,  $D$8,
  $C230&lt;$C$10,  $D$9,
  $C230&lt;$C$11,  $D$10,
  $C230&lt;$C$12,  $D$11,
  $C230&lt;$C$13,  $D$12,
  $C230&lt;$C$14,  $D$13,
  $C230&lt;100,  $D$14,
)</f>
        <v>0</v>
      </c>
      <c r="N230">
        <f>主翼翼型1!$R$18*'主翼(平面形結果)'!H230+主翼翼型2!$R$18*'主翼(平面形結果)'!I230+主翼翼型3!$R$18*'主翼(平面形結果)'!J230+主翼翼型4!$R$18*'主翼(平面形結果)'!K230+主翼翼型5!$R$18*'主翼(平面形結果)'!L230</f>
        <v>14.347418873211977</v>
      </c>
      <c r="O230">
        <f t="shared" si="0"/>
        <v>146.00379190432881</v>
      </c>
    </row>
    <row r="231" spans="2:15">
      <c r="B231">
        <f>'主翼(型紙出力)'!B74</f>
        <v>23</v>
      </c>
      <c r="C231">
        <f>INT(('主翼(型紙出力)'!C74)*1000)/1000</f>
        <v>3.4750000000000001</v>
      </c>
      <c r="D231">
        <f>'主翼(型紙出力)'!E74</f>
        <v>0.15</v>
      </c>
      <c r="E231">
        <f>'主翼(重量推算)'!CE71</f>
        <v>2.1916485278407527</v>
      </c>
      <c r="F231" s="244" cm="1">
        <f t="array" ref="F231">_xlfn.SWITCH(TRUE,
  $C231&lt;$C$6,  $AA$4*$C231+$AB$4,
  $C231&lt;$C$7,  $AA$5*$C231+$AB$5,
  $C231&lt;$C$8,  $AA$6*$C231+$AB$6,
  $C231&lt;$C$9, $AA$7*$C231+$AB$7,
  $C231&lt;$C$10, $AA$8*$C231+$AB$8,
  $C231&lt;$C$11, $AA$9*$C231+$AB$9,
  $C231&lt;$C$12,  $AA$10*$C231+$AB$10,
  $C231&lt;$C$13, $AA$11*$C231+$AB$11,
  $AA$12*$C231+$AB$12
)</f>
        <v>1.005864077669903</v>
      </c>
      <c r="G231" s="244" cm="1">
        <f t="array" ref="G231">_xlfn.SWITCH(TRUE,
  $C231&lt;$C$6,  $AC$4*$C231+$AD$4,
  $C231&lt;$C$7,  $AC$5*$C231+$AD$5,
  $C231&lt;$C$8,  $AC$6*$C231+$AD$6,
  $C231&lt;$C$9, $AC$7*$C231+$AD$7,
  $C231&lt;$C$10, $AC$8*$C231+$AD$8,
  $C231&lt;$C$11, $AC$9*$C231+$AD$9,
  $C231&lt;$C$12,  $AC$10*$C231+$AD$10,
  $C231&lt;$C$13, $AC$11*$C231+$AD$11,
  $AC$12*$C231+$AD$12
)</f>
        <v>3.7013592233009702</v>
      </c>
      <c r="H231" cm="1">
        <f t="array" ref="H231">_xlfn.LET(
  _xlpm.y,$C231,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0.53398058252427172</v>
      </c>
      <c r="I231" cm="1">
        <f t="array" ref="I231">_xlfn.LET(
  _xlpm.y,$C231,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0.46601941747572828</v>
      </c>
      <c r="J231" cm="1">
        <f t="array" ref="J231">_xlfn.LET(
  _xlpm.y,$C231,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1" cm="1">
        <f t="array" ref="K231">_xlfn.LET(
  _xlpm.y,$C231,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1" cm="1">
        <f t="array" ref="L231">_xlfn.LET(
  _xlpm.y,$C231,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1" cm="1">
        <f t="array" ref="M231">_xlfn.SWITCH(TRUE,
  $C231&lt;$C$6,  $D$5,
  $C231&lt;$C$7,  $D$6,
  $C231&lt;$C$8,  $D$7,
  $C231&lt;$C$9,  $D$8,
  $C231&lt;$C$10,  $D$9,
  $C231&lt;$C$11,  $D$10,
  $C231&lt;$C$12,  $D$11,
  $C231&lt;$C$13,  $D$12,
  $C231&lt;$C$14,  $D$13,
  $C231&lt;100,  $D$14,
)</f>
        <v>0</v>
      </c>
      <c r="N231">
        <f>主翼翼型1!$R$18*'主翼(平面形結果)'!H231+主翼翼型2!$R$18*'主翼(平面形結果)'!I231+主翼翼型3!$R$18*'主翼(平面形結果)'!J231+主翼翼型4!$R$18*'主翼(平面形結果)'!K231+主翼翼型5!$R$18*'主翼(平面形結果)'!L231</f>
        <v>14.312289052511257</v>
      </c>
      <c r="O231">
        <f t="shared" si="0"/>
        <v>143.96217427149284</v>
      </c>
    </row>
    <row r="232" spans="2:15">
      <c r="B232">
        <f>'主翼(型紙出力)'!B75</f>
        <v>24</v>
      </c>
      <c r="C232">
        <f>INT(('主翼(型紙出力)'!C75)*1000)/1000</f>
        <v>3.625</v>
      </c>
      <c r="D232">
        <f>'主翼(型紙出力)'!E75</f>
        <v>0.15</v>
      </c>
      <c r="E232">
        <f>'主翼(重量推算)'!CE72</f>
        <v>2.1601092888342128</v>
      </c>
      <c r="F232" s="244" cm="1">
        <f t="array" ref="F232">_xlfn.SWITCH(TRUE,
  $C232&lt;$C$6,  $AA$4*$C232+$AB$4,
  $C232&lt;$C$7,  $AA$5*$C232+$AB$5,
  $C232&lt;$C$8,  $AA$6*$C232+$AB$6,
  $C232&lt;$C$9, $AA$7*$C232+$AB$7,
  $C232&lt;$C$10, $AA$8*$C232+$AB$8,
  $C232&lt;$C$11, $AA$9*$C232+$AB$9,
  $C232&lt;$C$12,  $AA$10*$C232+$AB$10,
  $C232&lt;$C$13, $AA$11*$C232+$AB$11,
  $AA$12*$C232+$AB$12
)</f>
        <v>0.99409708737864078</v>
      </c>
      <c r="G232" s="244" cm="1">
        <f t="array" ref="G232">_xlfn.SWITCH(TRUE,
  $C232&lt;$C$6,  $AC$4*$C232+$AD$4,
  $C232&lt;$C$7,  $AC$5*$C232+$AD$5,
  $C232&lt;$C$8,  $AC$6*$C232+$AD$6,
  $C232&lt;$C$9, $AC$7*$C232+$AD$7,
  $C232&lt;$C$10, $AC$8*$C232+$AD$8,
  $C232&lt;$C$11, $AC$9*$C232+$AD$9,
  $C232&lt;$C$12,  $AC$10*$C232+$AD$10,
  $C232&lt;$C$13, $AC$11*$C232+$AD$11,
  $AC$12*$C232+$AD$12
)</f>
        <v>3.6990291262135919</v>
      </c>
      <c r="H232" cm="1">
        <f t="array" ref="H232">_xlfn.LET(
  _xlpm.y,$C232,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0.47572815533980572</v>
      </c>
      <c r="I232" cm="1">
        <f t="array" ref="I232">_xlfn.LET(
  _xlpm.y,$C232,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0.52427184466019428</v>
      </c>
      <c r="J232" cm="1">
        <f t="array" ref="J232">_xlfn.LET(
  _xlpm.y,$C232,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2" cm="1">
        <f t="array" ref="K232">_xlfn.LET(
  _xlpm.y,$C232,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2" cm="1">
        <f t="array" ref="L232">_xlfn.LET(
  _xlpm.y,$C232,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2" cm="1">
        <f t="array" ref="M232">_xlfn.SWITCH(TRUE,
  $C232&lt;$C$6,  $D$5,
  $C232&lt;$C$7,  $D$6,
  $C232&lt;$C$8,  $D$7,
  $C232&lt;$C$9,  $D$8,
  $C232&lt;$C$10,  $D$9,
  $C232&lt;$C$11,  $D$10,
  $C232&lt;$C$12,  $D$11,
  $C232&lt;$C$13,  $D$12,
  $C232&lt;$C$14,  $D$13,
  $C232&lt;100,  $D$14,
)</f>
        <v>0</v>
      </c>
      <c r="N232">
        <f>主翼翼型1!$R$18*'主翼(平面形結果)'!H232+主翼翼型2!$R$18*'主翼(平面形結果)'!I232+主翼翼型3!$R$18*'主翼(平面形結果)'!J232+主翼翼型4!$R$18*'主翼(平面形結果)'!K232+主翼翼型5!$R$18*'主翼(平面形結果)'!L232</f>
        <v>14.277159231810536</v>
      </c>
      <c r="O232">
        <f t="shared" si="0"/>
        <v>141.92882408383929</v>
      </c>
    </row>
    <row r="233" spans="2:15">
      <c r="B233">
        <f>'主翼(型紙出力)'!B76</f>
        <v>25</v>
      </c>
      <c r="C233">
        <f>INT(('主翼(型紙出力)'!C76)*1000)/1000</f>
        <v>3.7749999999999999</v>
      </c>
      <c r="D233">
        <f>'主翼(型紙出力)'!E76</f>
        <v>0.15</v>
      </c>
      <c r="E233">
        <f>'主翼(重量推算)'!CE73</f>
        <v>2.1286572917316176</v>
      </c>
      <c r="F233" s="244" cm="1">
        <f t="array" ref="F233">_xlfn.SWITCH(TRUE,
  $C233&lt;$C$6,  $AA$4*$C233+$AB$4,
  $C233&lt;$C$7,  $AA$5*$C233+$AB$5,
  $C233&lt;$C$8,  $AA$6*$C233+$AB$6,
  $C233&lt;$C$9, $AA$7*$C233+$AB$7,
  $C233&lt;$C$10, $AA$8*$C233+$AB$8,
  $C233&lt;$C$11, $AA$9*$C233+$AB$9,
  $C233&lt;$C$12,  $AA$10*$C233+$AB$10,
  $C233&lt;$C$13, $AA$11*$C233+$AB$11,
  $AA$12*$C233+$AB$12
)</f>
        <v>0.98233009708737873</v>
      </c>
      <c r="G233" s="244" cm="1">
        <f t="array" ref="G233">_xlfn.SWITCH(TRUE,
  $C233&lt;$C$6,  $AC$4*$C233+$AD$4,
  $C233&lt;$C$7,  $AC$5*$C233+$AD$5,
  $C233&lt;$C$8,  $AC$6*$C233+$AD$6,
  $C233&lt;$C$9, $AC$7*$C233+$AD$7,
  $C233&lt;$C$10, $AC$8*$C233+$AD$8,
  $C233&lt;$C$11, $AC$9*$C233+$AD$9,
  $C233&lt;$C$12,  $AC$10*$C233+$AD$10,
  $C233&lt;$C$13, $AC$11*$C233+$AD$11,
  $AC$12*$C233+$AD$12
)</f>
        <v>3.6966990291262132</v>
      </c>
      <c r="H233" cm="1">
        <f t="array" ref="H233">_xlfn.LET(
  _xlpm.y,$C233,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0.41747572815533973</v>
      </c>
      <c r="I233" cm="1">
        <f t="array" ref="I233">_xlfn.LET(
  _xlpm.y,$C233,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0.58252427184466027</v>
      </c>
      <c r="J233" cm="1">
        <f t="array" ref="J233">_xlfn.LET(
  _xlpm.y,$C233,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3" cm="1">
        <f t="array" ref="K233">_xlfn.LET(
  _xlpm.y,$C233,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3" cm="1">
        <f t="array" ref="L233">_xlfn.LET(
  _xlpm.y,$C233,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3" cm="1">
        <f t="array" ref="M233">_xlfn.SWITCH(TRUE,
  $C233&lt;$C$6,  $D$5,
  $C233&lt;$C$7,  $D$6,
  $C233&lt;$C$8,  $D$7,
  $C233&lt;$C$9,  $D$8,
  $C233&lt;$C$10,  $D$9,
  $C233&lt;$C$11,  $D$10,
  $C233&lt;$C$12,  $D$11,
  $C233&lt;$C$13,  $D$12,
  $C233&lt;$C$14,  $D$13,
  $C233&lt;100,  $D$14,
)</f>
        <v>0</v>
      </c>
      <c r="N233">
        <f>主翼翼型1!$R$18*'主翼(平面形結果)'!H233+主翼翼型2!$R$18*'主翼(平面形結果)'!I233+主翼翼型3!$R$18*'主翼(平面形結果)'!J233+主翼翼型4!$R$18*'主翼(平面形結果)'!K233+主翼翼型5!$R$18*'主翼(平面形結果)'!L233</f>
        <v>14.242029411109819</v>
      </c>
      <c r="O233">
        <f t="shared" si="0"/>
        <v>139.90374134136809</v>
      </c>
    </row>
    <row r="234" spans="2:15">
      <c r="B234">
        <f>'主翼(型紙出力)'!B77</f>
        <v>26</v>
      </c>
      <c r="C234">
        <f>INT(('主翼(型紙出力)'!C77)*1000)/1000</f>
        <v>3.9249999999999998</v>
      </c>
      <c r="D234">
        <f>'主翼(型紙出力)'!E77</f>
        <v>0.15</v>
      </c>
      <c r="E234">
        <f>'主翼(重量推算)'!CE74</f>
        <v>2.0972922249997774</v>
      </c>
      <c r="F234" s="244" cm="1">
        <f t="array" ref="F234">_xlfn.SWITCH(TRUE,
  $C234&lt;$C$6,  $AA$4*$C234+$AB$4,
  $C234&lt;$C$7,  $AA$5*$C234+$AB$5,
  $C234&lt;$C$8,  $AA$6*$C234+$AB$6,
  $C234&lt;$C$9, $AA$7*$C234+$AB$7,
  $C234&lt;$C$10, $AA$8*$C234+$AB$8,
  $C234&lt;$C$11, $AA$9*$C234+$AB$9,
  $C234&lt;$C$12,  $AA$10*$C234+$AB$10,
  $C234&lt;$C$13, $AA$11*$C234+$AB$11,
  $AA$12*$C234+$AB$12
)</f>
        <v>0.97056310679611657</v>
      </c>
      <c r="G234" s="244" cm="1">
        <f t="array" ref="G234">_xlfn.SWITCH(TRUE,
  $C234&lt;$C$6,  $AC$4*$C234+$AD$4,
  $C234&lt;$C$7,  $AC$5*$C234+$AD$5,
  $C234&lt;$C$8,  $AC$6*$C234+$AD$6,
  $C234&lt;$C$9, $AC$7*$C234+$AD$7,
  $C234&lt;$C$10, $AC$8*$C234+$AD$8,
  $C234&lt;$C$11, $AC$9*$C234+$AD$9,
  $C234&lt;$C$12,  $AC$10*$C234+$AD$10,
  $C234&lt;$C$13, $AC$11*$C234+$AD$11,
  $AC$12*$C234+$AD$12
)</f>
        <v>3.6943689320388344</v>
      </c>
      <c r="H234" cm="1">
        <f t="array" ref="H234">_xlfn.LET(
  _xlpm.y,$C234,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0.35922330097087374</v>
      </c>
      <c r="I234" cm="1">
        <f t="array" ref="I234">_xlfn.LET(
  _xlpm.y,$C234,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0.64077669902912626</v>
      </c>
      <c r="J234" cm="1">
        <f t="array" ref="J234">_xlfn.LET(
  _xlpm.y,$C234,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4" cm="1">
        <f t="array" ref="K234">_xlfn.LET(
  _xlpm.y,$C234,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4" cm="1">
        <f t="array" ref="L234">_xlfn.LET(
  _xlpm.y,$C234,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4" cm="1">
        <f t="array" ref="M234">_xlfn.SWITCH(TRUE,
  $C234&lt;$C$6,  $D$5,
  $C234&lt;$C$7,  $D$6,
  $C234&lt;$C$8,  $D$7,
  $C234&lt;$C$9,  $D$8,
  $C234&lt;$C$10,  $D$9,
  $C234&lt;$C$11,  $D$10,
  $C234&lt;$C$12,  $D$11,
  $C234&lt;$C$13,  $D$12,
  $C234&lt;$C$14,  $D$13,
  $C234&lt;100,  $D$14,
)</f>
        <v>0</v>
      </c>
      <c r="N234">
        <f>主翼翼型1!$R$18*'主翼(平面形結果)'!H234+主翼翼型2!$R$18*'主翼(平面形結果)'!I234+主翼翼型3!$R$18*'主翼(平面形結果)'!J234+主翼翼型4!$R$18*'主翼(平面形結果)'!K234+主翼翼型5!$R$18*'主翼(平面形結果)'!L234</f>
        <v>14.206899590409098</v>
      </c>
      <c r="O234">
        <f t="shared" si="0"/>
        <v>137.8869260440793</v>
      </c>
    </row>
    <row r="235" spans="2:15">
      <c r="B235">
        <f>'主翼(型紙出力)'!B78</f>
        <v>27</v>
      </c>
      <c r="C235">
        <f>INT(('主翼(型紙出力)'!C78)*1000)/1000</f>
        <v>4.0750000000000002</v>
      </c>
      <c r="D235">
        <f>'主翼(型紙出力)'!E78</f>
        <v>0.15</v>
      </c>
      <c r="E235">
        <f>'主翼(重量推算)'!CE75</f>
        <v>2.0660137770609626</v>
      </c>
      <c r="F235" s="244" cm="1">
        <f t="array" ref="F235">_xlfn.SWITCH(TRUE,
  $C235&lt;$C$6,  $AA$4*$C235+$AB$4,
  $C235&lt;$C$7,  $AA$5*$C235+$AB$5,
  $C235&lt;$C$8,  $AA$6*$C235+$AB$6,
  $C235&lt;$C$9, $AA$7*$C235+$AB$7,
  $C235&lt;$C$10, $AA$8*$C235+$AB$8,
  $C235&lt;$C$11, $AA$9*$C235+$AB$9,
  $C235&lt;$C$12,  $AA$10*$C235+$AB$10,
  $C235&lt;$C$13, $AA$11*$C235+$AB$11,
  $AA$12*$C235+$AB$12
)</f>
        <v>0.95879611650485441</v>
      </c>
      <c r="G235" s="244" cm="1">
        <f t="array" ref="G235">_xlfn.SWITCH(TRUE,
  $C235&lt;$C$6,  $AC$4*$C235+$AD$4,
  $C235&lt;$C$7,  $AC$5*$C235+$AD$5,
  $C235&lt;$C$8,  $AC$6*$C235+$AD$6,
  $C235&lt;$C$9, $AC$7*$C235+$AD$7,
  $C235&lt;$C$10, $AC$8*$C235+$AD$8,
  $C235&lt;$C$11, $AC$9*$C235+$AD$9,
  $C235&lt;$C$12,  $AC$10*$C235+$AD$10,
  $C235&lt;$C$13, $AC$11*$C235+$AD$11,
  $AC$12*$C235+$AD$12
)</f>
        <v>3.6920388349514557</v>
      </c>
      <c r="H235" cm="1">
        <f t="array" ref="H235">_xlfn.LET(
  _xlpm.y,$C235,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0.30097087378640763</v>
      </c>
      <c r="I235" cm="1">
        <f t="array" ref="I235">_xlfn.LET(
  _xlpm.y,$C235,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0.69902912621359237</v>
      </c>
      <c r="J235" cm="1">
        <f t="array" ref="J235">_xlfn.LET(
  _xlpm.y,$C235,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5" cm="1">
        <f t="array" ref="K235">_xlfn.LET(
  _xlpm.y,$C235,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5" cm="1">
        <f t="array" ref="L235">_xlfn.LET(
  _xlpm.y,$C235,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5" cm="1">
        <f t="array" ref="M235">_xlfn.SWITCH(TRUE,
  $C235&lt;$C$6,  $D$5,
  $C235&lt;$C$7,  $D$6,
  $C235&lt;$C$8,  $D$7,
  $C235&lt;$C$9,  $D$8,
  $C235&lt;$C$10,  $D$9,
  $C235&lt;$C$11,  $D$10,
  $C235&lt;$C$12,  $D$11,
  $C235&lt;$C$13,  $D$12,
  $C235&lt;$C$14,  $D$13,
  $C235&lt;100,  $D$14,
)</f>
        <v>0</v>
      </c>
      <c r="N235">
        <f>主翼翼型1!$R$18*'主翼(平面形結果)'!H235+主翼翼型2!$R$18*'主翼(平面形結果)'!I235+主翼翼型3!$R$18*'主翼(平面形結果)'!J235+主翼翼型4!$R$18*'主翼(平面形結果)'!K235+主翼翼型5!$R$18*'主翼(平面形結果)'!L235</f>
        <v>14.171769769708376</v>
      </c>
      <c r="O235">
        <f t="shared" si="0"/>
        <v>135.87837819197287</v>
      </c>
    </row>
    <row r="236" spans="2:15">
      <c r="B236">
        <f>'主翼(型紙出力)'!B79</f>
        <v>28</v>
      </c>
      <c r="C236">
        <f>INT(('主翼(型紙出力)'!C79)*1000)/1000</f>
        <v>4.2249999999999996</v>
      </c>
      <c r="D236">
        <f>'主翼(型紙出力)'!E79</f>
        <v>0.15</v>
      </c>
      <c r="E236">
        <f>'主翼(重量推算)'!CE76</f>
        <v>2.0348216362950167</v>
      </c>
      <c r="F236" s="244" cm="1">
        <f t="array" ref="F236">_xlfn.SWITCH(TRUE,
  $C236&lt;$C$6,  $AA$4*$C236+$AB$4,
  $C236&lt;$C$7,  $AA$5*$C236+$AB$5,
  $C236&lt;$C$8,  $AA$6*$C236+$AB$6,
  $C236&lt;$C$9, $AA$7*$C236+$AB$7,
  $C236&lt;$C$10, $AA$8*$C236+$AB$8,
  $C236&lt;$C$11, $AA$9*$C236+$AB$9,
  $C236&lt;$C$12,  $AA$10*$C236+$AB$10,
  $C236&lt;$C$13, $AA$11*$C236+$AB$11,
  $AA$12*$C236+$AB$12
)</f>
        <v>0.94702912621359236</v>
      </c>
      <c r="G236" s="244" cm="1">
        <f t="array" ref="G236">_xlfn.SWITCH(TRUE,
  $C236&lt;$C$6,  $AC$4*$C236+$AD$4,
  $C236&lt;$C$7,  $AC$5*$C236+$AD$5,
  $C236&lt;$C$8,  $AC$6*$C236+$AD$6,
  $C236&lt;$C$9, $AC$7*$C236+$AD$7,
  $C236&lt;$C$10, $AC$8*$C236+$AD$8,
  $C236&lt;$C$11, $AC$9*$C236+$AD$9,
  $C236&lt;$C$12,  $AC$10*$C236+$AD$10,
  $C236&lt;$C$13, $AC$11*$C236+$AD$11,
  $AC$12*$C236+$AD$12
)</f>
        <v>3.6897087378640774</v>
      </c>
      <c r="H236" cm="1">
        <f t="array" ref="H236">_xlfn.LET(
  _xlpm.y,$C236,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0.24271844660194175</v>
      </c>
      <c r="I236" cm="1">
        <f t="array" ref="I236">_xlfn.LET(
  _xlpm.y,$C236,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0.75728155339805825</v>
      </c>
      <c r="J236" cm="1">
        <f t="array" ref="J236">_xlfn.LET(
  _xlpm.y,$C236,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6" cm="1">
        <f t="array" ref="K236">_xlfn.LET(
  _xlpm.y,$C236,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6" cm="1">
        <f t="array" ref="L236">_xlfn.LET(
  _xlpm.y,$C236,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6" cm="1">
        <f t="array" ref="M236">_xlfn.SWITCH(TRUE,
  $C236&lt;$C$6,  $D$5,
  $C236&lt;$C$7,  $D$6,
  $C236&lt;$C$8,  $D$7,
  $C236&lt;$C$9,  $D$8,
  $C236&lt;$C$10,  $D$9,
  $C236&lt;$C$11,  $D$10,
  $C236&lt;$C$12,  $D$11,
  $C236&lt;$C$13,  $D$12,
  $C236&lt;$C$14,  $D$13,
  $C236&lt;100,  $D$14,
)</f>
        <v>0</v>
      </c>
      <c r="N236">
        <f>主翼翼型1!$R$18*'主翼(平面形結果)'!H236+主翼翼型2!$R$18*'主翼(平面形結果)'!I236+主翼翼型3!$R$18*'主翼(平面形結果)'!J236+主翼翼型4!$R$18*'主翼(平面形結果)'!K236+主翼翼型5!$R$18*'主翼(平面形結果)'!L236</f>
        <v>14.136639949007657</v>
      </c>
      <c r="O236">
        <f t="shared" si="0"/>
        <v>133.87809778504882</v>
      </c>
    </row>
    <row r="237" spans="2:15">
      <c r="B237">
        <f>'主翼(型紙出力)'!B80</f>
        <v>29</v>
      </c>
      <c r="C237">
        <f>INT(('主翼(型紙出力)'!C80)*1000)/1000</f>
        <v>4.375</v>
      </c>
      <c r="D237">
        <f>'主翼(型紙出力)'!E80</f>
        <v>0.15</v>
      </c>
      <c r="E237">
        <f>'主翼(重量推算)'!CE77</f>
        <v>2.0037154910415524</v>
      </c>
      <c r="F237" s="244" cm="1">
        <f t="array" ref="F237">_xlfn.SWITCH(TRUE,
  $C237&lt;$C$6,  $AA$4*$C237+$AB$4,
  $C237&lt;$C$7,  $AA$5*$C237+$AB$5,
  $C237&lt;$C$8,  $AA$6*$C237+$AB$6,
  $C237&lt;$C$9, $AA$7*$C237+$AB$7,
  $C237&lt;$C$10, $AA$8*$C237+$AB$8,
  $C237&lt;$C$11, $AA$9*$C237+$AB$9,
  $C237&lt;$C$12,  $AA$10*$C237+$AB$10,
  $C237&lt;$C$13, $AA$11*$C237+$AB$11,
  $AA$12*$C237+$AB$12
)</f>
        <v>0.9352621359223301</v>
      </c>
      <c r="G237" s="244" cm="1">
        <f t="array" ref="G237">_xlfn.SWITCH(TRUE,
  $C237&lt;$C$6,  $AC$4*$C237+$AD$4,
  $C237&lt;$C$7,  $AC$5*$C237+$AD$5,
  $C237&lt;$C$8,  $AC$6*$C237+$AD$6,
  $C237&lt;$C$9, $AC$7*$C237+$AD$7,
  $C237&lt;$C$10, $AC$8*$C237+$AD$8,
  $C237&lt;$C$11, $AC$9*$C237+$AD$9,
  $C237&lt;$C$12,  $AC$10*$C237+$AD$10,
  $C237&lt;$C$13, $AC$11*$C237+$AD$11,
  $AC$12*$C237+$AD$12
)</f>
        <v>3.6873786407766986</v>
      </c>
      <c r="H237" cm="1">
        <f t="array" ref="H237">_xlfn.LET(
  _xlpm.y,$C237,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0.18446601941747565</v>
      </c>
      <c r="I237" cm="1">
        <f t="array" ref="I237">_xlfn.LET(
  _xlpm.y,$C237,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0.81553398058252435</v>
      </c>
      <c r="J237" cm="1">
        <f t="array" ref="J237">_xlfn.LET(
  _xlpm.y,$C237,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7" cm="1">
        <f t="array" ref="K237">_xlfn.LET(
  _xlpm.y,$C237,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7" cm="1">
        <f t="array" ref="L237">_xlfn.LET(
  _xlpm.y,$C237,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7" cm="1">
        <f t="array" ref="M237">_xlfn.SWITCH(TRUE,
  $C237&lt;$C$6,  $D$5,
  $C237&lt;$C$7,  $D$6,
  $C237&lt;$C$8,  $D$7,
  $C237&lt;$C$9,  $D$8,
  $C237&lt;$C$10,  $D$9,
  $C237&lt;$C$11,  $D$10,
  $C237&lt;$C$12,  $D$11,
  $C237&lt;$C$13,  $D$12,
  $C237&lt;$C$14,  $D$13,
  $C237&lt;100,  $D$14,
)</f>
        <v>0</v>
      </c>
      <c r="N237">
        <f>主翼翼型1!$R$18*'主翼(平面形結果)'!H237+主翼翼型2!$R$18*'主翼(平面形結果)'!I237+主翼翼型3!$R$18*'主翼(平面形結果)'!J237+主翼翼型4!$R$18*'主翼(平面形結果)'!K237+主翼翼型5!$R$18*'主翼(平面形結果)'!L237</f>
        <v>14.101510128306938</v>
      </c>
      <c r="O237">
        <f t="shared" si="0"/>
        <v>131.88608482330719</v>
      </c>
    </row>
    <row r="238" spans="2:15">
      <c r="B238">
        <f>'主翼(型紙出力)'!B81</f>
        <v>30</v>
      </c>
      <c r="C238">
        <f>INT(('主翼(型紙出力)'!C81)*1000)/1000</f>
        <v>4.5250000000000004</v>
      </c>
      <c r="D238">
        <f>'主翼(型紙出力)'!E81</f>
        <v>0.15</v>
      </c>
      <c r="E238">
        <f>'主翼(重量推算)'!CE78</f>
        <v>1.9726950296021208</v>
      </c>
      <c r="F238" s="244" cm="1">
        <f t="array" ref="F238">_xlfn.SWITCH(TRUE,
  $C238&lt;$C$6,  $AA$4*$C238+$AB$4,
  $C238&lt;$C$7,  $AA$5*$C238+$AB$5,
  $C238&lt;$C$8,  $AA$6*$C238+$AB$6,
  $C238&lt;$C$9, $AA$7*$C238+$AB$7,
  $C238&lt;$C$10, $AA$8*$C238+$AB$8,
  $C238&lt;$C$11, $AA$9*$C238+$AB$9,
  $C238&lt;$C$12,  $AA$10*$C238+$AB$10,
  $C238&lt;$C$13, $AA$11*$C238+$AB$11,
  $AA$12*$C238+$AB$12
)</f>
        <v>0.92349514563106805</v>
      </c>
      <c r="G238" s="244" cm="1">
        <f t="array" ref="G238">_xlfn.SWITCH(TRUE,
  $C238&lt;$C$6,  $AC$4*$C238+$AD$4,
  $C238&lt;$C$7,  $AC$5*$C238+$AD$5,
  $C238&lt;$C$8,  $AC$6*$C238+$AD$6,
  $C238&lt;$C$9, $AC$7*$C238+$AD$7,
  $C238&lt;$C$10, $AC$8*$C238+$AD$8,
  $C238&lt;$C$11, $AC$9*$C238+$AD$9,
  $C238&lt;$C$12,  $AC$10*$C238+$AD$10,
  $C238&lt;$C$13, $AC$11*$C238+$AD$11,
  $AC$12*$C238+$AD$12
)</f>
        <v>3.6850485436893199</v>
      </c>
      <c r="H238" cm="1">
        <f t="array" ref="H238">_xlfn.LET(
  _xlpm.y,$C238,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0.12621359223300943</v>
      </c>
      <c r="I238" cm="1">
        <f t="array" ref="I238">_xlfn.LET(
  _xlpm.y,$C238,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0.87378640776699057</v>
      </c>
      <c r="J238" cm="1">
        <f t="array" ref="J238">_xlfn.LET(
  _xlpm.y,$C238,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8" cm="1">
        <f t="array" ref="K238">_xlfn.LET(
  _xlpm.y,$C238,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8" cm="1">
        <f t="array" ref="L238">_xlfn.LET(
  _xlpm.y,$C238,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8" cm="1">
        <f t="array" ref="M238">_xlfn.SWITCH(TRUE,
  $C238&lt;$C$6,  $D$5,
  $C238&lt;$C$7,  $D$6,
  $C238&lt;$C$8,  $D$7,
  $C238&lt;$C$9,  $D$8,
  $C238&lt;$C$10,  $D$9,
  $C238&lt;$C$11,  $D$10,
  $C238&lt;$C$12,  $D$11,
  $C238&lt;$C$13,  $D$12,
  $C238&lt;$C$14,  $D$13,
  $C238&lt;100,  $D$14,
)</f>
        <v>0</v>
      </c>
      <c r="N238">
        <f>主翼翼型1!$R$18*'主翼(平面形結果)'!H238+主翼翼型2!$R$18*'主翼(平面形結果)'!I238+主翼翼型3!$R$18*'主翼(平面形結果)'!J238+主翼翼型4!$R$18*'主翼(平面形結果)'!K238+主翼翼型5!$R$18*'主翼(平面形結果)'!L238</f>
        <v>14.066380307606218</v>
      </c>
      <c r="O238">
        <f t="shared" si="0"/>
        <v>129.9023393067479</v>
      </c>
    </row>
    <row r="239" spans="2:15">
      <c r="B239">
        <f>'主翼(型紙出力)'!B82</f>
        <v>31</v>
      </c>
      <c r="C239">
        <f>INT(('主翼(型紙出力)'!C82)*1000)/1000</f>
        <v>4.6749999999999998</v>
      </c>
      <c r="D239">
        <f>'主翼(型紙出力)'!E82</f>
        <v>0.17499999999999999</v>
      </c>
      <c r="E239">
        <f>'主翼(重量推算)'!CE79</f>
        <v>3.1872845043357998</v>
      </c>
      <c r="F239" s="244" cm="1">
        <f t="array" ref="F239">_xlfn.SWITCH(TRUE,
  $C239&lt;$C$6,  $AA$4*$C239+$AB$4,
  $C239&lt;$C$7,  $AA$5*$C239+$AB$5,
  $C239&lt;$C$8,  $AA$6*$C239+$AB$6,
  $C239&lt;$C$9, $AA$7*$C239+$AB$7,
  $C239&lt;$C$10, $AA$8*$C239+$AB$8,
  $C239&lt;$C$11, $AA$9*$C239+$AB$9,
  $C239&lt;$C$12,  $AA$10*$C239+$AB$10,
  $C239&lt;$C$13, $AA$11*$C239+$AB$11,
  $AA$12*$C239+$AB$12
)</f>
        <v>0.91172815533980589</v>
      </c>
      <c r="G239" s="244" cm="1">
        <f t="array" ref="G239">_xlfn.SWITCH(TRUE,
  $C239&lt;$C$6,  $AC$4*$C239+$AD$4,
  $C239&lt;$C$7,  $AC$5*$C239+$AD$5,
  $C239&lt;$C$8,  $AC$6*$C239+$AD$6,
  $C239&lt;$C$9, $AC$7*$C239+$AD$7,
  $C239&lt;$C$10, $AC$8*$C239+$AD$8,
  $C239&lt;$C$11, $AC$9*$C239+$AD$9,
  $C239&lt;$C$12,  $AC$10*$C239+$AD$10,
  $C239&lt;$C$13, $AC$11*$C239+$AD$11,
  $AC$12*$C239+$AD$12
)</f>
        <v>3.6827184466019411</v>
      </c>
      <c r="H239" cm="1">
        <f t="array" ref="H239">_xlfn.LET(
  _xlpm.y,$C239,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6.7961165048543659E-2</v>
      </c>
      <c r="I239" cm="1">
        <f t="array" ref="I239">_xlfn.LET(
  _xlpm.y,$C239,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0.93203883495145634</v>
      </c>
      <c r="J239" cm="1">
        <f t="array" ref="J239">_xlfn.LET(
  _xlpm.y,$C239,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9" cm="1">
        <f t="array" ref="K239">_xlfn.LET(
  _xlpm.y,$C239,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9" cm="1">
        <f t="array" ref="L239">_xlfn.LET(
  _xlpm.y,$C239,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9" cm="1">
        <f t="array" ref="M239">_xlfn.SWITCH(TRUE,
  $C239&lt;$C$6,  $D$5,
  $C239&lt;$C$7,  $D$6,
  $C239&lt;$C$8,  $D$7,
  $C239&lt;$C$9,  $D$8,
  $C239&lt;$C$10,  $D$9,
  $C239&lt;$C$11,  $D$10,
  $C239&lt;$C$12,  $D$11,
  $C239&lt;$C$13,  $D$12,
  $C239&lt;$C$14,  $D$13,
  $C239&lt;100,  $D$14,
)</f>
        <v>0</v>
      </c>
      <c r="N239">
        <f>主翼翼型1!$R$18*'主翼(平面形結果)'!H239+主翼翼型2!$R$18*'主翼(平面形結果)'!I239+主翼翼型3!$R$18*'主翼(平面形結果)'!J239+主翼翼型4!$R$18*'主翼(平面形結果)'!K239+主翼翼型5!$R$18*'主翼(平面形結果)'!L239</f>
        <v>14.031250486905499</v>
      </c>
      <c r="O239">
        <f t="shared" si="0"/>
        <v>127.92686123537104</v>
      </c>
    </row>
    <row r="240" spans="2:15">
      <c r="B240">
        <f>'主翼(型紙出力)'!B83</f>
        <v>32</v>
      </c>
      <c r="C240">
        <f>INT(('主翼(型紙出力)'!C83)*1000)/1000</f>
        <v>4.8499999999999996</v>
      </c>
      <c r="D240">
        <f>'主翼(型紙出力)'!E83</f>
        <v>0.2</v>
      </c>
      <c r="E240">
        <f>'主翼(重量推算)'!CE80</f>
        <v>7.084872533105071</v>
      </c>
      <c r="F240" s="244" cm="1">
        <f t="array" ref="F240">_xlfn.SWITCH(TRUE,
  $C240&lt;$C$6,  $AA$4*$C240+$AB$4,
  $C240&lt;$C$7,  $AA$5*$C240+$AB$5,
  $C240&lt;$C$8,  $AA$6*$C240+$AB$6,
  $C240&lt;$C$9, $AA$7*$C240+$AB$7,
  $C240&lt;$C$10, $AA$8*$C240+$AB$8,
  $C240&lt;$C$11, $AA$9*$C240+$AB$9,
  $C240&lt;$C$12,  $AA$10*$C240+$AB$10,
  $C240&lt;$C$13, $AA$11*$C240+$AB$11,
  $AA$12*$C240+$AB$12
)</f>
        <v>0.89800000000000002</v>
      </c>
      <c r="G240" s="244" cm="1">
        <f t="array" ref="G240">_xlfn.SWITCH(TRUE,
  $C240&lt;$C$6,  $AC$4*$C240+$AD$4,
  $C240&lt;$C$7,  $AC$5*$C240+$AD$5,
  $C240&lt;$C$8,  $AC$6*$C240+$AD$6,
  $C240&lt;$C$9, $AC$7*$C240+$AD$7,
  $C240&lt;$C$10, $AC$8*$C240+$AD$8,
  $C240&lt;$C$11, $AC$9*$C240+$AD$9,
  $C240&lt;$C$12,  $AC$10*$C240+$AD$10,
  $C240&lt;$C$13, $AC$11*$C240+$AD$11,
  $AC$12*$C240+$AD$12
)</f>
        <v>3.6799999999999997</v>
      </c>
      <c r="H240" cm="1">
        <f t="array" ref="H240">_xlfn.LET(
  _xlpm.y,$C240,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0" cm="1">
        <f t="array" ref="I240">_xlfn.LET(
  _xlpm.y,$C240,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0" cm="1">
        <f t="array" ref="J240">_xlfn.LET(
  _xlpm.y,$C240,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0" cm="1">
        <f t="array" ref="K240">_xlfn.LET(
  _xlpm.y,$C240,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0" cm="1">
        <f t="array" ref="L240">_xlfn.LET(
  _xlpm.y,$C240,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0" cm="1">
        <f t="array" ref="M240">_xlfn.SWITCH(TRUE,
  $C240&lt;$C$6,  $D$5,
  $C240&lt;$C$7,  $D$6,
  $C240&lt;$C$8,  $D$7,
  $C240&lt;$C$9,  $D$8,
  $C240&lt;$C$10,  $D$9,
  $C240&lt;$C$11,  $D$10,
  $C240&lt;$C$12,  $D$11,
  $C240&lt;$C$13,  $D$12,
  $C240&lt;$C$14,  $D$13,
  $C240&lt;100,  $D$14,
)</f>
        <v>0</v>
      </c>
      <c r="N240">
        <f>主翼翼型1!$R$18*'主翼(平面形結果)'!H240+主翼翼型2!$R$18*'主翼(平面形結果)'!I240+主翼翼型3!$R$18*'主翼(平面形結果)'!J240+主翼翼型4!$R$18*'主翼(平面形結果)'!K240+主翼翼型5!$R$18*'主翼(平面形結果)'!L240</f>
        <v>13.990265696087992</v>
      </c>
      <c r="O240">
        <f t="shared" si="0"/>
        <v>125.63258595087018</v>
      </c>
    </row>
    <row r="241" spans="2:15">
      <c r="B241">
        <f>'主翼(型紙出力)'!B84</f>
        <v>33</v>
      </c>
      <c r="C241">
        <f>INT(('主翼(型紙出力)'!C84)*1000)/1000</f>
        <v>5.05</v>
      </c>
      <c r="D241">
        <f>'主翼(型紙出力)'!E84</f>
        <v>0.15</v>
      </c>
      <c r="E241">
        <f>'主翼(重量推算)'!CE81</f>
        <v>3.110660582583789</v>
      </c>
      <c r="F241" s="244" cm="1">
        <f t="array" ref="F241">_xlfn.SWITCH(TRUE,
  $C241&lt;$C$6,  $AA$4*$C241+$AB$4,
  $C241&lt;$C$7,  $AA$5*$C241+$AB$5,
  $C241&lt;$C$8,  $AA$6*$C241+$AB$6,
  $C241&lt;$C$9, $AA$7*$C241+$AB$7,
  $C241&lt;$C$10, $AA$8*$C241+$AB$8,
  $C241&lt;$C$11, $AA$9*$C241+$AB$9,
  $C241&lt;$C$12,  $AA$10*$C241+$AB$10,
  $C241&lt;$C$13, $AA$11*$C241+$AB$11,
  $AA$12*$C241+$AB$12
)</f>
        <v>0.88665454545454547</v>
      </c>
      <c r="G241" s="244" cm="1">
        <f t="array" ref="G241">_xlfn.SWITCH(TRUE,
  $C241&lt;$C$6,  $AC$4*$C241+$AD$4,
  $C241&lt;$C$7,  $AC$5*$C241+$AD$5,
  $C241&lt;$C$8,  $AC$6*$C241+$AD$6,
  $C241&lt;$C$9, $AC$7*$C241+$AD$7,
  $C241&lt;$C$10, $AC$8*$C241+$AD$8,
  $C241&lt;$C$11, $AC$9*$C241+$AD$9,
  $C241&lt;$C$12,  $AC$10*$C241+$AD$10,
  $C241&lt;$C$13, $AC$11*$C241+$AD$11,
  $AC$12*$C241+$AD$12
)</f>
        <v>3.6799999999999997</v>
      </c>
      <c r="H241" cm="1">
        <f t="array" ref="H241">_xlfn.LET(
  _xlpm.y,$C241,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1" cm="1">
        <f t="array" ref="I241">_xlfn.LET(
  _xlpm.y,$C241,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1" cm="1">
        <f t="array" ref="J241">_xlfn.LET(
  _xlpm.y,$C241,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1" cm="1">
        <f t="array" ref="K241">_xlfn.LET(
  _xlpm.y,$C241,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1" cm="1">
        <f t="array" ref="L241">_xlfn.LET(
  _xlpm.y,$C241,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1" cm="1">
        <f t="array" ref="M241">_xlfn.SWITCH(TRUE,
  $C241&lt;$C$6,  $D$5,
  $C241&lt;$C$7,  $D$6,
  $C241&lt;$C$8,  $D$7,
  $C241&lt;$C$9,  $D$8,
  $C241&lt;$C$10,  $D$9,
  $C241&lt;$C$11,  $D$10,
  $C241&lt;$C$12,  $D$11,
  $C241&lt;$C$13,  $D$12,
  $C241&lt;$C$14,  $D$13,
  $C241&lt;100,  $D$14,
)</f>
        <v>0</v>
      </c>
      <c r="N241">
        <f>主翼翼型1!$R$18*'主翼(平面形結果)'!H241+主翼翼型2!$R$18*'主翼(平面形結果)'!I241+主翼翼型3!$R$18*'主翼(平面形結果)'!J241+主翼翼型4!$R$18*'主翼(平面形結果)'!K241+主翼翼型5!$R$18*'主翼(平面形結果)'!L241</f>
        <v>13.990265696087992</v>
      </c>
      <c r="O241">
        <f t="shared" si="0"/>
        <v>124.04532671553218</v>
      </c>
    </row>
    <row r="242" spans="2:15">
      <c r="B242">
        <f>'主翼(型紙出力)'!B85</f>
        <v>34</v>
      </c>
      <c r="C242">
        <f>INT(('主翼(型紙出力)'!C85)*1000)/1000</f>
        <v>5.2</v>
      </c>
      <c r="D242">
        <f>'主翼(型紙出力)'!E85</f>
        <v>0.15</v>
      </c>
      <c r="E242">
        <f>'主翼(重量推算)'!CE82</f>
        <v>1.7379727989220675</v>
      </c>
      <c r="F242" s="244" cm="1">
        <f t="array" ref="F242">_xlfn.SWITCH(TRUE,
  $C242&lt;$C$6,  $AA$4*$C242+$AB$4,
  $C242&lt;$C$7,  $AA$5*$C242+$AB$5,
  $C242&lt;$C$8,  $AA$6*$C242+$AB$6,
  $C242&lt;$C$9, $AA$7*$C242+$AB$7,
  $C242&lt;$C$10, $AA$8*$C242+$AB$8,
  $C242&lt;$C$11, $AA$9*$C242+$AB$9,
  $C242&lt;$C$12,  $AA$10*$C242+$AB$10,
  $C242&lt;$C$13, $AA$11*$C242+$AB$11,
  $AA$12*$C242+$AB$12
)</f>
        <v>0.87814545454545456</v>
      </c>
      <c r="G242" s="244" cm="1">
        <f t="array" ref="G242">_xlfn.SWITCH(TRUE,
  $C242&lt;$C$6,  $AC$4*$C242+$AD$4,
  $C242&lt;$C$7,  $AC$5*$C242+$AD$5,
  $C242&lt;$C$8,  $AC$6*$C242+$AD$6,
  $C242&lt;$C$9, $AC$7*$C242+$AD$7,
  $C242&lt;$C$10, $AC$8*$C242+$AD$8,
  $C242&lt;$C$11, $AC$9*$C242+$AD$9,
  $C242&lt;$C$12,  $AC$10*$C242+$AD$10,
  $C242&lt;$C$13, $AC$11*$C242+$AD$11,
  $AC$12*$C242+$AD$12
)</f>
        <v>3.6799999999999997</v>
      </c>
      <c r="H242" cm="1">
        <f t="array" ref="H242">_xlfn.LET(
  _xlpm.y,$C242,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2" cm="1">
        <f t="array" ref="I242">_xlfn.LET(
  _xlpm.y,$C242,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2" cm="1">
        <f t="array" ref="J242">_xlfn.LET(
  _xlpm.y,$C242,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2" cm="1">
        <f t="array" ref="K242">_xlfn.LET(
  _xlpm.y,$C242,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2" cm="1">
        <f t="array" ref="L242">_xlfn.LET(
  _xlpm.y,$C242,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2" cm="1">
        <f t="array" ref="M242">_xlfn.SWITCH(TRUE,
  $C242&lt;$C$6,  $D$5,
  $C242&lt;$C$7,  $D$6,
  $C242&lt;$C$8,  $D$7,
  $C242&lt;$C$9,  $D$8,
  $C242&lt;$C$10,  $D$9,
  $C242&lt;$C$11,  $D$10,
  $C242&lt;$C$12,  $D$11,
  $C242&lt;$C$13,  $D$12,
  $C242&lt;$C$14,  $D$13,
  $C242&lt;100,  $D$14,
)</f>
        <v>0</v>
      </c>
      <c r="N242">
        <f>主翼翼型1!$R$18*'主翼(平面形結果)'!H242+主翼翼型2!$R$18*'主翼(平面形結果)'!I242+主翼翼型3!$R$18*'主翼(平面形結果)'!J242+主翼翼型4!$R$18*'主翼(平面形結果)'!K242+主翼翼型5!$R$18*'主翼(平面形結果)'!L242</f>
        <v>13.990265696087992</v>
      </c>
      <c r="O242">
        <f t="shared" si="0"/>
        <v>122.85488228902869</v>
      </c>
    </row>
    <row r="243" spans="2:15">
      <c r="B243">
        <f>'主翼(型紙出力)'!B86</f>
        <v>35</v>
      </c>
      <c r="C243">
        <f>INT(('主翼(型紙出力)'!C86)*1000)/1000</f>
        <v>5.35</v>
      </c>
      <c r="D243">
        <f>'主翼(型紙出力)'!E86</f>
        <v>0.15</v>
      </c>
      <c r="E243">
        <f>'主翼(重量推算)'!CE83</f>
        <v>1.7593087257637934</v>
      </c>
      <c r="F243" s="244" cm="1">
        <f t="array" ref="F243">_xlfn.SWITCH(TRUE,
  $C243&lt;$C$6,  $AA$4*$C243+$AB$4,
  $C243&lt;$C$7,  $AA$5*$C243+$AB$5,
  $C243&lt;$C$8,  $AA$6*$C243+$AB$6,
  $C243&lt;$C$9, $AA$7*$C243+$AB$7,
  $C243&lt;$C$10, $AA$8*$C243+$AB$8,
  $C243&lt;$C$11, $AA$9*$C243+$AB$9,
  $C243&lt;$C$12,  $AA$10*$C243+$AB$10,
  $C243&lt;$C$13, $AA$11*$C243+$AB$11,
  $AA$12*$C243+$AB$12
)</f>
        <v>0.86963636363636365</v>
      </c>
      <c r="G243" s="244" cm="1">
        <f t="array" ref="G243">_xlfn.SWITCH(TRUE,
  $C243&lt;$C$6,  $AC$4*$C243+$AD$4,
  $C243&lt;$C$7,  $AC$5*$C243+$AD$5,
  $C243&lt;$C$8,  $AC$6*$C243+$AD$6,
  $C243&lt;$C$9, $AC$7*$C243+$AD$7,
  $C243&lt;$C$10, $AC$8*$C243+$AD$8,
  $C243&lt;$C$11, $AC$9*$C243+$AD$9,
  $C243&lt;$C$12,  $AC$10*$C243+$AD$10,
  $C243&lt;$C$13, $AC$11*$C243+$AD$11,
  $AC$12*$C243+$AD$12
)</f>
        <v>3.6799999999999997</v>
      </c>
      <c r="H243" cm="1">
        <f t="array" ref="H243">_xlfn.LET(
  _xlpm.y,$C243,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3" cm="1">
        <f t="array" ref="I243">_xlfn.LET(
  _xlpm.y,$C243,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3" cm="1">
        <f t="array" ref="J243">_xlfn.LET(
  _xlpm.y,$C243,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3" cm="1">
        <f t="array" ref="K243">_xlfn.LET(
  _xlpm.y,$C243,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3" cm="1">
        <f t="array" ref="L243">_xlfn.LET(
  _xlpm.y,$C243,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3" cm="1">
        <f t="array" ref="M243">_xlfn.SWITCH(TRUE,
  $C243&lt;$C$6,  $D$5,
  $C243&lt;$C$7,  $D$6,
  $C243&lt;$C$8,  $D$7,
  $C243&lt;$C$9,  $D$8,
  $C243&lt;$C$10,  $D$9,
  $C243&lt;$C$11,  $D$10,
  $C243&lt;$C$12,  $D$11,
  $C243&lt;$C$13,  $D$12,
  $C243&lt;$C$14,  $D$13,
  $C243&lt;100,  $D$14,
)</f>
        <v>0</v>
      </c>
      <c r="N243">
        <f>主翼翼型1!$R$18*'主翼(平面形結果)'!H243+主翼翼型2!$R$18*'主翼(平面形結果)'!I243+主翼翼型3!$R$18*'主翼(平面形結果)'!J243+主翼翼型4!$R$18*'主翼(平面形結果)'!K243+主翼翼型5!$R$18*'主翼(平面形結果)'!L243</f>
        <v>13.990265696087992</v>
      </c>
      <c r="O243">
        <f t="shared" si="0"/>
        <v>121.6644378625252</v>
      </c>
    </row>
    <row r="244" spans="2:15">
      <c r="B244">
        <f>'主翼(型紙出力)'!B87</f>
        <v>36</v>
      </c>
      <c r="C244">
        <f>INT(('主翼(型紙出力)'!C87)*1000)/1000</f>
        <v>5.5</v>
      </c>
      <c r="D244">
        <f>'主翼(型紙出力)'!E87</f>
        <v>0.15</v>
      </c>
      <c r="E244">
        <f>'主翼(重量推算)'!CE84</f>
        <v>1.6940745442881653</v>
      </c>
      <c r="F244" s="244" cm="1">
        <f t="array" ref="F244">_xlfn.SWITCH(TRUE,
  $C244&lt;$C$6,  $AA$4*$C244+$AB$4,
  $C244&lt;$C$7,  $AA$5*$C244+$AB$5,
  $C244&lt;$C$8,  $AA$6*$C244+$AB$6,
  $C244&lt;$C$9, $AA$7*$C244+$AB$7,
  $C244&lt;$C$10, $AA$8*$C244+$AB$8,
  $C244&lt;$C$11, $AA$9*$C244+$AB$9,
  $C244&lt;$C$12,  $AA$10*$C244+$AB$10,
  $C244&lt;$C$13, $AA$11*$C244+$AB$11,
  $AA$12*$C244+$AB$12
)</f>
        <v>0.86112727272727274</v>
      </c>
      <c r="G244" s="244" cm="1">
        <f t="array" ref="G244">_xlfn.SWITCH(TRUE,
  $C244&lt;$C$6,  $AC$4*$C244+$AD$4,
  $C244&lt;$C$7,  $AC$5*$C244+$AD$5,
  $C244&lt;$C$8,  $AC$6*$C244+$AD$6,
  $C244&lt;$C$9, $AC$7*$C244+$AD$7,
  $C244&lt;$C$10, $AC$8*$C244+$AD$8,
  $C244&lt;$C$11, $AC$9*$C244+$AD$9,
  $C244&lt;$C$12,  $AC$10*$C244+$AD$10,
  $C244&lt;$C$13, $AC$11*$C244+$AD$11,
  $AC$12*$C244+$AD$12
)</f>
        <v>3.6799999999999997</v>
      </c>
      <c r="H244" cm="1">
        <f t="array" ref="H244">_xlfn.LET(
  _xlpm.y,$C244,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4" cm="1">
        <f t="array" ref="I244">_xlfn.LET(
  _xlpm.y,$C244,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4" cm="1">
        <f t="array" ref="J244">_xlfn.LET(
  _xlpm.y,$C244,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4" cm="1">
        <f t="array" ref="K244">_xlfn.LET(
  _xlpm.y,$C244,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4" cm="1">
        <f t="array" ref="L244">_xlfn.LET(
  _xlpm.y,$C244,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4" cm="1">
        <f t="array" ref="M244">_xlfn.SWITCH(TRUE,
  $C244&lt;$C$6,  $D$5,
  $C244&lt;$C$7,  $D$6,
  $C244&lt;$C$8,  $D$7,
  $C244&lt;$C$9,  $D$8,
  $C244&lt;$C$10,  $D$9,
  $C244&lt;$C$11,  $D$10,
  $C244&lt;$C$12,  $D$11,
  $C244&lt;$C$13,  $D$12,
  $C244&lt;$C$14,  $D$13,
  $C244&lt;100,  $D$14,
)</f>
        <v>0</v>
      </c>
      <c r="N244">
        <f>主翼翼型1!$R$18*'主翼(平面形結果)'!H244+主翼翼型2!$R$18*'主翼(平面形結果)'!I244+主翼翼型3!$R$18*'主翼(平面形結果)'!J244+主翼翼型4!$R$18*'主翼(平面形結果)'!K244+主翼翼型5!$R$18*'主翼(平面形結果)'!L244</f>
        <v>13.990265696087992</v>
      </c>
      <c r="O244">
        <f t="shared" si="0"/>
        <v>120.47399343602173</v>
      </c>
    </row>
    <row r="245" spans="2:15">
      <c r="B245">
        <f>'主翼(型紙出力)'!B88</f>
        <v>37</v>
      </c>
      <c r="C245">
        <f>INT(('主翼(型紙出力)'!C88)*1000)/1000</f>
        <v>5.65</v>
      </c>
      <c r="D245">
        <f>'主翼(型紙出力)'!E88</f>
        <v>0.15</v>
      </c>
      <c r="E245">
        <f>'主翼(重量推算)'!CE85</f>
        <v>1.7137881098364975</v>
      </c>
      <c r="F245" s="244" cm="1">
        <f t="array" ref="F245">_xlfn.SWITCH(TRUE,
  $C245&lt;$C$6,  $AA$4*$C245+$AB$4,
  $C245&lt;$C$7,  $AA$5*$C245+$AB$5,
  $C245&lt;$C$8,  $AA$6*$C245+$AB$6,
  $C245&lt;$C$9, $AA$7*$C245+$AB$7,
  $C245&lt;$C$10, $AA$8*$C245+$AB$8,
  $C245&lt;$C$11, $AA$9*$C245+$AB$9,
  $C245&lt;$C$12,  $AA$10*$C245+$AB$10,
  $C245&lt;$C$13, $AA$11*$C245+$AB$11,
  $AA$12*$C245+$AB$12
)</f>
        <v>0.85261818181818172</v>
      </c>
      <c r="G245" s="244" cm="1">
        <f t="array" ref="G245">_xlfn.SWITCH(TRUE,
  $C245&lt;$C$6,  $AC$4*$C245+$AD$4,
  $C245&lt;$C$7,  $AC$5*$C245+$AD$5,
  $C245&lt;$C$8,  $AC$6*$C245+$AD$6,
  $C245&lt;$C$9, $AC$7*$C245+$AD$7,
  $C245&lt;$C$10, $AC$8*$C245+$AD$8,
  $C245&lt;$C$11, $AC$9*$C245+$AD$9,
  $C245&lt;$C$12,  $AC$10*$C245+$AD$10,
  $C245&lt;$C$13, $AC$11*$C245+$AD$11,
  $AC$12*$C245+$AD$12
)</f>
        <v>3.6799999999999997</v>
      </c>
      <c r="H245" cm="1">
        <f t="array" ref="H245">_xlfn.LET(
  _xlpm.y,$C245,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5" cm="1">
        <f t="array" ref="I245">_xlfn.LET(
  _xlpm.y,$C245,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5" cm="1">
        <f t="array" ref="J245">_xlfn.LET(
  _xlpm.y,$C245,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5" cm="1">
        <f t="array" ref="K245">_xlfn.LET(
  _xlpm.y,$C245,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5" cm="1">
        <f t="array" ref="L245">_xlfn.LET(
  _xlpm.y,$C245,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5" cm="1">
        <f t="array" ref="M245">_xlfn.SWITCH(TRUE,
  $C245&lt;$C$6,  $D$5,
  $C245&lt;$C$7,  $D$6,
  $C245&lt;$C$8,  $D$7,
  $C245&lt;$C$9,  $D$8,
  $C245&lt;$C$10,  $D$9,
  $C245&lt;$C$11,  $D$10,
  $C245&lt;$C$12,  $D$11,
  $C245&lt;$C$13,  $D$12,
  $C245&lt;$C$14,  $D$13,
  $C245&lt;100,  $D$14,
)</f>
        <v>0</v>
      </c>
      <c r="N245">
        <f>主翼翼型1!$R$18*'主翼(平面形結果)'!H245+主翼翼型2!$R$18*'主翼(平面形結果)'!I245+主翼翼型3!$R$18*'主翼(平面形結果)'!J245+主翼翼型4!$R$18*'主翼(平面形結果)'!K245+主翼翼型5!$R$18*'主翼(平面形結果)'!L245</f>
        <v>13.990265696087992</v>
      </c>
      <c r="O245">
        <f t="shared" si="0"/>
        <v>119.28354900951823</v>
      </c>
    </row>
    <row r="246" spans="2:15">
      <c r="B246">
        <f>'主翼(型紙出力)'!B89</f>
        <v>38</v>
      </c>
      <c r="C246">
        <f>INT(('主翼(型紙出力)'!C89)*1000)/1000</f>
        <v>5.8</v>
      </c>
      <c r="D246">
        <f>'主翼(型紙出力)'!E89</f>
        <v>0.15</v>
      </c>
      <c r="E246">
        <f>'主翼(重量推算)'!CE86</f>
        <v>1.6502877283081792</v>
      </c>
      <c r="F246" s="244" cm="1">
        <f t="array" ref="F246">_xlfn.SWITCH(TRUE,
  $C246&lt;$C$6,  $AA$4*$C246+$AB$4,
  $C246&lt;$C$7,  $AA$5*$C246+$AB$5,
  $C246&lt;$C$8,  $AA$6*$C246+$AB$6,
  $C246&lt;$C$9, $AA$7*$C246+$AB$7,
  $C246&lt;$C$10, $AA$8*$C246+$AB$8,
  $C246&lt;$C$11, $AA$9*$C246+$AB$9,
  $C246&lt;$C$12,  $AA$10*$C246+$AB$10,
  $C246&lt;$C$13, $AA$11*$C246+$AB$11,
  $AA$12*$C246+$AB$12
)</f>
        <v>0.84410909090909092</v>
      </c>
      <c r="G246" s="244" cm="1">
        <f t="array" ref="G246">_xlfn.SWITCH(TRUE,
  $C246&lt;$C$6,  $AC$4*$C246+$AD$4,
  $C246&lt;$C$7,  $AC$5*$C246+$AD$5,
  $C246&lt;$C$8,  $AC$6*$C246+$AD$6,
  $C246&lt;$C$9, $AC$7*$C246+$AD$7,
  $C246&lt;$C$10, $AC$8*$C246+$AD$8,
  $C246&lt;$C$11, $AC$9*$C246+$AD$9,
  $C246&lt;$C$12,  $AC$10*$C246+$AD$10,
  $C246&lt;$C$13, $AC$11*$C246+$AD$11,
  $AC$12*$C246+$AD$12
)</f>
        <v>3.6799999999999997</v>
      </c>
      <c r="H246" cm="1">
        <f t="array" ref="H246">_xlfn.LET(
  _xlpm.y,$C246,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6" cm="1">
        <f t="array" ref="I246">_xlfn.LET(
  _xlpm.y,$C246,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6" cm="1">
        <f t="array" ref="J246">_xlfn.LET(
  _xlpm.y,$C246,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6" cm="1">
        <f t="array" ref="K246">_xlfn.LET(
  _xlpm.y,$C246,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6" cm="1">
        <f t="array" ref="L246">_xlfn.LET(
  _xlpm.y,$C246,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6" cm="1">
        <f t="array" ref="M246">_xlfn.SWITCH(TRUE,
  $C246&lt;$C$6,  $D$5,
  $C246&lt;$C$7,  $D$6,
  $C246&lt;$C$8,  $D$7,
  $C246&lt;$C$9,  $D$8,
  $C246&lt;$C$10,  $D$9,
  $C246&lt;$C$11,  $D$10,
  $C246&lt;$C$12,  $D$11,
  $C246&lt;$C$13,  $D$12,
  $C246&lt;$C$14,  $D$13,
  $C246&lt;100,  $D$14,
)</f>
        <v>0</v>
      </c>
      <c r="N246">
        <f>主翼翼型1!$R$18*'主翼(平面形結果)'!H246+主翼翼型2!$R$18*'主翼(平面形結果)'!I246+主翼翼型3!$R$18*'主翼(平面形結果)'!J246+主翼翼型4!$R$18*'主翼(平面形結果)'!K246+主翼翼型5!$R$18*'主翼(平面形結果)'!L246</f>
        <v>13.990265696087992</v>
      </c>
      <c r="O246">
        <f t="shared" si="0"/>
        <v>118.09310458301475</v>
      </c>
    </row>
    <row r="247" spans="2:15">
      <c r="B247">
        <f>'主翼(型紙出力)'!B90</f>
        <v>39</v>
      </c>
      <c r="C247">
        <f>INT(('主翼(型紙出力)'!C90)*1000)/1000</f>
        <v>5.95</v>
      </c>
      <c r="D247">
        <f>'主翼(型紙出力)'!E90</f>
        <v>0.15</v>
      </c>
      <c r="E247">
        <f>'主翼(重量推算)'!CE87</f>
        <v>1.668412095931648</v>
      </c>
      <c r="F247" s="244" cm="1">
        <f t="array" ref="F247">_xlfn.SWITCH(TRUE,
  $C247&lt;$C$6,  $AA$4*$C247+$AB$4,
  $C247&lt;$C$7,  $AA$5*$C247+$AB$5,
  $C247&lt;$C$8,  $AA$6*$C247+$AB$6,
  $C247&lt;$C$9, $AA$7*$C247+$AB$7,
  $C247&lt;$C$10, $AA$8*$C247+$AB$8,
  $C247&lt;$C$11, $AA$9*$C247+$AB$9,
  $C247&lt;$C$12,  $AA$10*$C247+$AB$10,
  $C247&lt;$C$13, $AA$11*$C247+$AB$11,
  $AA$12*$C247+$AB$12
)</f>
        <v>0.8355999999999999</v>
      </c>
      <c r="G247" s="244" cm="1">
        <f t="array" ref="G247">_xlfn.SWITCH(TRUE,
  $C247&lt;$C$6,  $AC$4*$C247+$AD$4,
  $C247&lt;$C$7,  $AC$5*$C247+$AD$5,
  $C247&lt;$C$8,  $AC$6*$C247+$AD$6,
  $C247&lt;$C$9, $AC$7*$C247+$AD$7,
  $C247&lt;$C$10, $AC$8*$C247+$AD$8,
  $C247&lt;$C$11, $AC$9*$C247+$AD$9,
  $C247&lt;$C$12,  $AC$10*$C247+$AD$10,
  $C247&lt;$C$13, $AC$11*$C247+$AD$11,
  $AC$12*$C247+$AD$12
)</f>
        <v>3.6799999999999997</v>
      </c>
      <c r="H247" cm="1">
        <f t="array" ref="H247">_xlfn.LET(
  _xlpm.y,$C247,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7" cm="1">
        <f t="array" ref="I247">_xlfn.LET(
  _xlpm.y,$C247,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7" cm="1">
        <f t="array" ref="J247">_xlfn.LET(
  _xlpm.y,$C247,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7" cm="1">
        <f t="array" ref="K247">_xlfn.LET(
  _xlpm.y,$C247,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7" cm="1">
        <f t="array" ref="L247">_xlfn.LET(
  _xlpm.y,$C247,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7" cm="1">
        <f t="array" ref="M247">_xlfn.SWITCH(TRUE,
  $C247&lt;$C$6,  $D$5,
  $C247&lt;$C$7,  $D$6,
  $C247&lt;$C$8,  $D$7,
  $C247&lt;$C$9,  $D$8,
  $C247&lt;$C$10,  $D$9,
  $C247&lt;$C$11,  $D$10,
  $C247&lt;$C$12,  $D$11,
  $C247&lt;$C$13,  $D$12,
  $C247&lt;$C$14,  $D$13,
  $C247&lt;100,  $D$14,
)</f>
        <v>0</v>
      </c>
      <c r="N247">
        <f>主翼翼型1!$R$18*'主翼(平面形結果)'!H247+主翼翼型2!$R$18*'主翼(平面形結果)'!I247+主翼翼型3!$R$18*'主翼(平面形結果)'!J247+主翼翼型4!$R$18*'主翼(平面形結果)'!K247+主翼翼型5!$R$18*'主翼(平面形結果)'!L247</f>
        <v>13.990265696087992</v>
      </c>
      <c r="O247">
        <f t="shared" si="0"/>
        <v>116.90266015651125</v>
      </c>
    </row>
    <row r="248" spans="2:15">
      <c r="B248">
        <f>'主翼(型紙出力)'!B91</f>
        <v>40</v>
      </c>
      <c r="C248">
        <f>INT(('主翼(型紙出力)'!C91)*1000)/1000</f>
        <v>6.1</v>
      </c>
      <c r="D248">
        <f>'主翼(型紙出力)'!E91</f>
        <v>0.15</v>
      </c>
      <c r="E248">
        <f>'主翼(重量推算)'!CE88</f>
        <v>1.606612350982102</v>
      </c>
      <c r="F248" s="244" cm="1">
        <f t="array" ref="F248">_xlfn.SWITCH(TRUE,
  $C248&lt;$C$6,  $AA$4*$C248+$AB$4,
  $C248&lt;$C$7,  $AA$5*$C248+$AB$5,
  $C248&lt;$C$8,  $AA$6*$C248+$AB$6,
  $C248&lt;$C$9, $AA$7*$C248+$AB$7,
  $C248&lt;$C$10, $AA$8*$C248+$AB$8,
  $C248&lt;$C$11, $AA$9*$C248+$AB$9,
  $C248&lt;$C$12,  $AA$10*$C248+$AB$10,
  $C248&lt;$C$13, $AA$11*$C248+$AB$11,
  $AA$12*$C248+$AB$12
)</f>
        <v>0.8270909090909091</v>
      </c>
      <c r="G248" s="244" cm="1">
        <f t="array" ref="G248">_xlfn.SWITCH(TRUE,
  $C248&lt;$C$6,  $AC$4*$C248+$AD$4,
  $C248&lt;$C$7,  $AC$5*$C248+$AD$5,
  $C248&lt;$C$8,  $AC$6*$C248+$AD$6,
  $C248&lt;$C$9, $AC$7*$C248+$AD$7,
  $C248&lt;$C$10, $AC$8*$C248+$AD$8,
  $C248&lt;$C$11, $AC$9*$C248+$AD$9,
  $C248&lt;$C$12,  $AC$10*$C248+$AD$10,
  $C248&lt;$C$13, $AC$11*$C248+$AD$11,
  $AC$12*$C248+$AD$12
)</f>
        <v>3.6799999999999997</v>
      </c>
      <c r="H248" cm="1">
        <f t="array" ref="H248">_xlfn.LET(
  _xlpm.y,$C248,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8" cm="1">
        <f t="array" ref="I248">_xlfn.LET(
  _xlpm.y,$C248,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8" cm="1">
        <f t="array" ref="J248">_xlfn.LET(
  _xlpm.y,$C248,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8" cm="1">
        <f t="array" ref="K248">_xlfn.LET(
  _xlpm.y,$C248,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8" cm="1">
        <f t="array" ref="L248">_xlfn.LET(
  _xlpm.y,$C248,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8" cm="1">
        <f t="array" ref="M248">_xlfn.SWITCH(TRUE,
  $C248&lt;$C$6,  $D$5,
  $C248&lt;$C$7,  $D$6,
  $C248&lt;$C$8,  $D$7,
  $C248&lt;$C$9,  $D$8,
  $C248&lt;$C$10,  $D$9,
  $C248&lt;$C$11,  $D$10,
  $C248&lt;$C$12,  $D$11,
  $C248&lt;$C$13,  $D$12,
  $C248&lt;$C$14,  $D$13,
  $C248&lt;100,  $D$14,
)</f>
        <v>0</v>
      </c>
      <c r="N248">
        <f>主翼翼型1!$R$18*'主翼(平面形結果)'!H248+主翼翼型2!$R$18*'主翼(平面形結果)'!I248+主翼翼型3!$R$18*'主翼(平面形結果)'!J248+主翼翼型4!$R$18*'主翼(平面形結果)'!K248+主翼翼型5!$R$18*'主翼(平面形結果)'!L248</f>
        <v>13.990265696087992</v>
      </c>
      <c r="O248">
        <f t="shared" si="0"/>
        <v>115.71221573000777</v>
      </c>
    </row>
    <row r="249" spans="2:15">
      <c r="B249">
        <f>'主翼(型紙出力)'!B92</f>
        <v>41</v>
      </c>
      <c r="C249">
        <f>INT(('主翼(型紙出力)'!C92)*1000)/1000</f>
        <v>6.25</v>
      </c>
      <c r="D249">
        <f>'主翼(型紙出力)'!E92</f>
        <v>0.15</v>
      </c>
      <c r="E249">
        <f>'主翼(重量推算)'!CE89</f>
        <v>1.6231806840492491</v>
      </c>
      <c r="F249" s="244" cm="1">
        <f t="array" ref="F249">_xlfn.SWITCH(TRUE,
  $C249&lt;$C$6,  $AA$4*$C249+$AB$4,
  $C249&lt;$C$7,  $AA$5*$C249+$AB$5,
  $C249&lt;$C$8,  $AA$6*$C249+$AB$6,
  $C249&lt;$C$9, $AA$7*$C249+$AB$7,
  $C249&lt;$C$10, $AA$8*$C249+$AB$8,
  $C249&lt;$C$11, $AA$9*$C249+$AB$9,
  $C249&lt;$C$12,  $AA$10*$C249+$AB$10,
  $C249&lt;$C$13, $AA$11*$C249+$AB$11,
  $AA$12*$C249+$AB$12
)</f>
        <v>0.81858181818181808</v>
      </c>
      <c r="G249" s="244" cm="1">
        <f t="array" ref="G249">_xlfn.SWITCH(TRUE,
  $C249&lt;$C$6,  $AC$4*$C249+$AD$4,
  $C249&lt;$C$7,  $AC$5*$C249+$AD$5,
  $C249&lt;$C$8,  $AC$6*$C249+$AD$6,
  $C249&lt;$C$9, $AC$7*$C249+$AD$7,
  $C249&lt;$C$10, $AC$8*$C249+$AD$8,
  $C249&lt;$C$11, $AC$9*$C249+$AD$9,
  $C249&lt;$C$12,  $AC$10*$C249+$AD$10,
  $C249&lt;$C$13, $AC$11*$C249+$AD$11,
  $AC$12*$C249+$AD$12
)</f>
        <v>3.6799999999999997</v>
      </c>
      <c r="H249" cm="1">
        <f t="array" ref="H249">_xlfn.LET(
  _xlpm.y,$C249,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9" cm="1">
        <f t="array" ref="I249">_xlfn.LET(
  _xlpm.y,$C249,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9" cm="1">
        <f t="array" ref="J249">_xlfn.LET(
  _xlpm.y,$C249,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9" cm="1">
        <f t="array" ref="K249">_xlfn.LET(
  _xlpm.y,$C249,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9" cm="1">
        <f t="array" ref="L249">_xlfn.LET(
  _xlpm.y,$C249,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9" cm="1">
        <f t="array" ref="M249">_xlfn.SWITCH(TRUE,
  $C249&lt;$C$6,  $D$5,
  $C249&lt;$C$7,  $D$6,
  $C249&lt;$C$8,  $D$7,
  $C249&lt;$C$9,  $D$8,
  $C249&lt;$C$10,  $D$9,
  $C249&lt;$C$11,  $D$10,
  $C249&lt;$C$12,  $D$11,
  $C249&lt;$C$13,  $D$12,
  $C249&lt;$C$14,  $D$13,
  $C249&lt;100,  $D$14,
)</f>
        <v>0</v>
      </c>
      <c r="N249">
        <f>主翼翼型1!$R$18*'主翼(平面形結果)'!H249+主翼翼型2!$R$18*'主翼(平面形結果)'!I249+主翼翼型3!$R$18*'主翼(平面形結果)'!J249+主翼翼型4!$R$18*'主翼(平面形結果)'!K249+主翼翼型5!$R$18*'主翼(平面形結果)'!L249</f>
        <v>13.990265696087992</v>
      </c>
      <c r="O249">
        <f t="shared" si="0"/>
        <v>114.52177130350425</v>
      </c>
    </row>
    <row r="250" spans="2:15">
      <c r="B250">
        <f>'主翼(型紙出力)'!B93</f>
        <v>42</v>
      </c>
      <c r="C250">
        <f>INT(('主翼(型紙出力)'!C93)*1000)/1000</f>
        <v>6.4</v>
      </c>
      <c r="D250">
        <f>'主翼(型紙出力)'!E93</f>
        <v>0.15</v>
      </c>
      <c r="E250">
        <f>'主翼(重量推算)'!CE90</f>
        <v>1.5630484123099384</v>
      </c>
      <c r="F250" s="244" cm="1">
        <f t="array" ref="F250">_xlfn.SWITCH(TRUE,
  $C250&lt;$C$6,  $AA$4*$C250+$AB$4,
  $C250&lt;$C$7,  $AA$5*$C250+$AB$5,
  $C250&lt;$C$8,  $AA$6*$C250+$AB$6,
  $C250&lt;$C$9, $AA$7*$C250+$AB$7,
  $C250&lt;$C$10, $AA$8*$C250+$AB$8,
  $C250&lt;$C$11, $AA$9*$C250+$AB$9,
  $C250&lt;$C$12,  $AA$10*$C250+$AB$10,
  $C250&lt;$C$13, $AA$11*$C250+$AB$11,
  $AA$12*$C250+$AB$12
)</f>
        <v>0.81007272727272728</v>
      </c>
      <c r="G250" s="244" cm="1">
        <f t="array" ref="G250">_xlfn.SWITCH(TRUE,
  $C250&lt;$C$6,  $AC$4*$C250+$AD$4,
  $C250&lt;$C$7,  $AC$5*$C250+$AD$5,
  $C250&lt;$C$8,  $AC$6*$C250+$AD$6,
  $C250&lt;$C$9, $AC$7*$C250+$AD$7,
  $C250&lt;$C$10, $AC$8*$C250+$AD$8,
  $C250&lt;$C$11, $AC$9*$C250+$AD$9,
  $C250&lt;$C$12,  $AC$10*$C250+$AD$10,
  $C250&lt;$C$13, $AC$11*$C250+$AD$11,
  $AC$12*$C250+$AD$12
)</f>
        <v>3.6799999999999997</v>
      </c>
      <c r="H250" cm="1">
        <f t="array" ref="H250">_xlfn.LET(
  _xlpm.y,$C250,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0" cm="1">
        <f t="array" ref="I250">_xlfn.LET(
  _xlpm.y,$C250,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0" cm="1">
        <f t="array" ref="J250">_xlfn.LET(
  _xlpm.y,$C250,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0" cm="1">
        <f t="array" ref="K250">_xlfn.LET(
  _xlpm.y,$C250,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0" cm="1">
        <f t="array" ref="L250">_xlfn.LET(
  _xlpm.y,$C250,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0" cm="1">
        <f t="array" ref="M250">_xlfn.SWITCH(TRUE,
  $C250&lt;$C$6,  $D$5,
  $C250&lt;$C$7,  $D$6,
  $C250&lt;$C$8,  $D$7,
  $C250&lt;$C$9,  $D$8,
  $C250&lt;$C$10,  $D$9,
  $C250&lt;$C$11,  $D$10,
  $C250&lt;$C$12,  $D$11,
  $C250&lt;$C$13,  $D$12,
  $C250&lt;$C$14,  $D$13,
  $C250&lt;100,  $D$14,
)</f>
        <v>0</v>
      </c>
      <c r="N250">
        <f>主翼翼型1!$R$18*'主翼(平面形結果)'!H250+主翼翼型2!$R$18*'主翼(平面形結果)'!I250+主翼翼型3!$R$18*'主翼(平面形結果)'!J250+主翼翼型4!$R$18*'主翼(平面形結果)'!K250+主翼翼型5!$R$18*'主翼(平面形結果)'!L250</f>
        <v>13.990265696087992</v>
      </c>
      <c r="O250">
        <f t="shared" si="0"/>
        <v>113.33132687700079</v>
      </c>
    </row>
    <row r="251" spans="2:15">
      <c r="B251">
        <f>'主翼(型紙出力)'!B94</f>
        <v>43</v>
      </c>
      <c r="C251">
        <f>INT(('主翼(型紙出力)'!C94)*1000)/1000</f>
        <v>6.55</v>
      </c>
      <c r="D251">
        <f>'主翼(型紙出力)'!E94</f>
        <v>0.15</v>
      </c>
      <c r="E251">
        <f>'主翼(重量推算)'!CE91</f>
        <v>1.5780938741892994</v>
      </c>
      <c r="F251" s="244" cm="1">
        <f t="array" ref="F251">_xlfn.SWITCH(TRUE,
  $C251&lt;$C$6,  $AA$4*$C251+$AB$4,
  $C251&lt;$C$7,  $AA$5*$C251+$AB$5,
  $C251&lt;$C$8,  $AA$6*$C251+$AB$6,
  $C251&lt;$C$9, $AA$7*$C251+$AB$7,
  $C251&lt;$C$10, $AA$8*$C251+$AB$8,
  $C251&lt;$C$11, $AA$9*$C251+$AB$9,
  $C251&lt;$C$12,  $AA$10*$C251+$AB$10,
  $C251&lt;$C$13, $AA$11*$C251+$AB$11,
  $AA$12*$C251+$AB$12
)</f>
        <v>0.80156363636363626</v>
      </c>
      <c r="G251" s="244" cm="1">
        <f t="array" ref="G251">_xlfn.SWITCH(TRUE,
  $C251&lt;$C$6,  $AC$4*$C251+$AD$4,
  $C251&lt;$C$7,  $AC$5*$C251+$AD$5,
  $C251&lt;$C$8,  $AC$6*$C251+$AD$6,
  $C251&lt;$C$9, $AC$7*$C251+$AD$7,
  $C251&lt;$C$10, $AC$8*$C251+$AD$8,
  $C251&lt;$C$11, $AC$9*$C251+$AD$9,
  $C251&lt;$C$12,  $AC$10*$C251+$AD$10,
  $C251&lt;$C$13, $AC$11*$C251+$AD$11,
  $AC$12*$C251+$AD$12
)</f>
        <v>3.6799999999999997</v>
      </c>
      <c r="H251" cm="1">
        <f t="array" ref="H251">_xlfn.LET(
  _xlpm.y,$C251,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1" cm="1">
        <f t="array" ref="I251">_xlfn.LET(
  _xlpm.y,$C251,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1" cm="1">
        <f t="array" ref="J251">_xlfn.LET(
  _xlpm.y,$C251,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1" cm="1">
        <f t="array" ref="K251">_xlfn.LET(
  _xlpm.y,$C251,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1" cm="1">
        <f t="array" ref="L251">_xlfn.LET(
  _xlpm.y,$C251,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1" cm="1">
        <f t="array" ref="M251">_xlfn.SWITCH(TRUE,
  $C251&lt;$C$6,  $D$5,
  $C251&lt;$C$7,  $D$6,
  $C251&lt;$C$8,  $D$7,
  $C251&lt;$C$9,  $D$8,
  $C251&lt;$C$10,  $D$9,
  $C251&lt;$C$11,  $D$10,
  $C251&lt;$C$12,  $D$11,
  $C251&lt;$C$13,  $D$12,
  $C251&lt;$C$14,  $D$13,
  $C251&lt;100,  $D$14,
)</f>
        <v>0</v>
      </c>
      <c r="N251">
        <f>主翼翼型1!$R$18*'主翼(平面形結果)'!H251+主翼翼型2!$R$18*'主翼(平面形結果)'!I251+主翼翼型3!$R$18*'主翼(平面形結果)'!J251+主翼翼型4!$R$18*'主翼(平面形結果)'!K251+主翼翼型5!$R$18*'主翼(平面形結果)'!L251</f>
        <v>13.990265696087992</v>
      </c>
      <c r="O251">
        <f t="shared" si="0"/>
        <v>112.1408824504973</v>
      </c>
    </row>
    <row r="252" spans="2:15">
      <c r="B252">
        <f>'主翼(型紙出力)'!B95</f>
        <v>44</v>
      </c>
      <c r="C252">
        <f>INT(('主翼(型紙出力)'!C95)*1000)/1000</f>
        <v>6.7</v>
      </c>
      <c r="D252">
        <f>'主翼(型紙出力)'!E95</f>
        <v>0.15</v>
      </c>
      <c r="E252">
        <f>'主翼(重量推算)'!CE92</f>
        <v>1.5195959122916867</v>
      </c>
      <c r="F252" s="244" cm="1">
        <f t="array" ref="F252">_xlfn.SWITCH(TRUE,
  $C252&lt;$C$6,  $AA$4*$C252+$AB$4,
  $C252&lt;$C$7,  $AA$5*$C252+$AB$5,
  $C252&lt;$C$8,  $AA$6*$C252+$AB$6,
  $C252&lt;$C$9, $AA$7*$C252+$AB$7,
  $C252&lt;$C$10, $AA$8*$C252+$AB$8,
  $C252&lt;$C$11, $AA$9*$C252+$AB$9,
  $C252&lt;$C$12,  $AA$10*$C252+$AB$10,
  $C252&lt;$C$13, $AA$11*$C252+$AB$11,
  $AA$12*$C252+$AB$12
)</f>
        <v>0.79305454545454546</v>
      </c>
      <c r="G252" s="244" cm="1">
        <f t="array" ref="G252">_xlfn.SWITCH(TRUE,
  $C252&lt;$C$6,  $AC$4*$C252+$AD$4,
  $C252&lt;$C$7,  $AC$5*$C252+$AD$5,
  $C252&lt;$C$8,  $AC$6*$C252+$AD$6,
  $C252&lt;$C$9, $AC$7*$C252+$AD$7,
  $C252&lt;$C$10, $AC$8*$C252+$AD$8,
  $C252&lt;$C$11, $AC$9*$C252+$AD$9,
  $C252&lt;$C$12,  $AC$10*$C252+$AD$10,
  $C252&lt;$C$13, $AC$11*$C252+$AD$11,
  $AC$12*$C252+$AD$12
)</f>
        <v>3.6799999999999997</v>
      </c>
      <c r="H252" cm="1">
        <f t="array" ref="H252">_xlfn.LET(
  _xlpm.y,$C252,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2" cm="1">
        <f t="array" ref="I252">_xlfn.LET(
  _xlpm.y,$C252,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2" cm="1">
        <f t="array" ref="J252">_xlfn.LET(
  _xlpm.y,$C252,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2" cm="1">
        <f t="array" ref="K252">_xlfn.LET(
  _xlpm.y,$C252,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2" cm="1">
        <f t="array" ref="L252">_xlfn.LET(
  _xlpm.y,$C252,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2" cm="1">
        <f t="array" ref="M252">_xlfn.SWITCH(TRUE,
  $C252&lt;$C$6,  $D$5,
  $C252&lt;$C$7,  $D$6,
  $C252&lt;$C$8,  $D$7,
  $C252&lt;$C$9,  $D$8,
  $C252&lt;$C$10,  $D$9,
  $C252&lt;$C$11,  $D$10,
  $C252&lt;$C$12,  $D$11,
  $C252&lt;$C$13,  $D$12,
  $C252&lt;$C$14,  $D$13,
  $C252&lt;100,  $D$14,
)</f>
        <v>0</v>
      </c>
      <c r="N252">
        <f>主翼翼型1!$R$18*'主翼(平面形結果)'!H252+主翼翼型2!$R$18*'主翼(平面形結果)'!I252+主翼翼型3!$R$18*'主翼(平面形結果)'!J252+主翼翼型4!$R$18*'主翼(平面形結果)'!K252+主翼翼型5!$R$18*'主翼(平面形結果)'!L252</f>
        <v>13.990265696087992</v>
      </c>
      <c r="O252">
        <f t="shared" si="0"/>
        <v>110.95043802399384</v>
      </c>
    </row>
    <row r="253" spans="2:15">
      <c r="B253">
        <f>'主翼(型紙出力)'!B96</f>
        <v>45</v>
      </c>
      <c r="C253">
        <f>INT(('主翼(型紙出力)'!C96)*1000)/1000</f>
        <v>6.85</v>
      </c>
      <c r="D253">
        <f>'主翼(型紙出力)'!E96</f>
        <v>0.15</v>
      </c>
      <c r="E253">
        <f>'主翼(重量推算)'!CE93</f>
        <v>1.5331516663517988</v>
      </c>
      <c r="F253" s="244" cm="1">
        <f t="array" ref="F253">_xlfn.SWITCH(TRUE,
  $C253&lt;$C$6,  $AA$4*$C253+$AB$4,
  $C253&lt;$C$7,  $AA$5*$C253+$AB$5,
  $C253&lt;$C$8,  $AA$6*$C253+$AB$6,
  $C253&lt;$C$9, $AA$7*$C253+$AB$7,
  $C253&lt;$C$10, $AA$8*$C253+$AB$8,
  $C253&lt;$C$11, $AA$9*$C253+$AB$9,
  $C253&lt;$C$12,  $AA$10*$C253+$AB$10,
  $C253&lt;$C$13, $AA$11*$C253+$AB$11,
  $AA$12*$C253+$AB$12
)</f>
        <v>0.78454545454545455</v>
      </c>
      <c r="G253" s="244" cm="1">
        <f t="array" ref="G253">_xlfn.SWITCH(TRUE,
  $C253&lt;$C$6,  $AC$4*$C253+$AD$4,
  $C253&lt;$C$7,  $AC$5*$C253+$AD$5,
  $C253&lt;$C$8,  $AC$6*$C253+$AD$6,
  $C253&lt;$C$9, $AC$7*$C253+$AD$7,
  $C253&lt;$C$10, $AC$8*$C253+$AD$8,
  $C253&lt;$C$11, $AC$9*$C253+$AD$9,
  $C253&lt;$C$12,  $AC$10*$C253+$AD$10,
  $C253&lt;$C$13, $AC$11*$C253+$AD$11,
  $AC$12*$C253+$AD$12
)</f>
        <v>3.6799999999999997</v>
      </c>
      <c r="H253" cm="1">
        <f t="array" ref="H253">_xlfn.LET(
  _xlpm.y,$C253,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3" cm="1">
        <f t="array" ref="I253">_xlfn.LET(
  _xlpm.y,$C253,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3" cm="1">
        <f t="array" ref="J253">_xlfn.LET(
  _xlpm.y,$C253,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3" cm="1">
        <f t="array" ref="K253">_xlfn.LET(
  _xlpm.y,$C253,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3" cm="1">
        <f t="array" ref="L253">_xlfn.LET(
  _xlpm.y,$C253,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3" cm="1">
        <f t="array" ref="M253">_xlfn.SWITCH(TRUE,
  $C253&lt;$C$6,  $D$5,
  $C253&lt;$C$7,  $D$6,
  $C253&lt;$C$8,  $D$7,
  $C253&lt;$C$9,  $D$8,
  $C253&lt;$C$10,  $D$9,
  $C253&lt;$C$11,  $D$10,
  $C253&lt;$C$12,  $D$11,
  $C253&lt;$C$13,  $D$12,
  $C253&lt;$C$14,  $D$13,
  $C253&lt;100,  $D$14,
)</f>
        <v>0</v>
      </c>
      <c r="N253">
        <f>主翼翼型1!$R$18*'主翼(平面形結果)'!H253+主翼翼型2!$R$18*'主翼(平面形結果)'!I253+主翼翼型3!$R$18*'主翼(平面形結果)'!J253+主翼翼型4!$R$18*'主翼(平面形結果)'!K253+主翼翼型5!$R$18*'主翼(平面形結果)'!L253</f>
        <v>13.990265696087992</v>
      </c>
      <c r="O253">
        <f t="shared" si="0"/>
        <v>109.75999359749034</v>
      </c>
    </row>
    <row r="254" spans="2:15">
      <c r="B254">
        <f>'主翼(型紙出力)'!B97</f>
        <v>46</v>
      </c>
      <c r="C254">
        <f>INT(('主翼(型紙出力)'!C97)*1000)/1000</f>
        <v>7</v>
      </c>
      <c r="D254">
        <f>'主翼(型紙出力)'!E97</f>
        <v>0.15</v>
      </c>
      <c r="E254">
        <f>'主翼(重量推算)'!CE94</f>
        <v>1.4762548509273472</v>
      </c>
      <c r="F254" s="244" cm="1">
        <f t="array" ref="F254">_xlfn.SWITCH(TRUE,
  $C254&lt;$C$6,  $AA$4*$C254+$AB$4,
  $C254&lt;$C$7,  $AA$5*$C254+$AB$5,
  $C254&lt;$C$8,  $AA$6*$C254+$AB$6,
  $C254&lt;$C$9, $AA$7*$C254+$AB$7,
  $C254&lt;$C$10, $AA$8*$C254+$AB$8,
  $C254&lt;$C$11, $AA$9*$C254+$AB$9,
  $C254&lt;$C$12,  $AA$10*$C254+$AB$10,
  $C254&lt;$C$13, $AA$11*$C254+$AB$11,
  $AA$12*$C254+$AB$12
)</f>
        <v>0.77603636363636364</v>
      </c>
      <c r="G254" s="244" cm="1">
        <f t="array" ref="G254">_xlfn.SWITCH(TRUE,
  $C254&lt;$C$6,  $AC$4*$C254+$AD$4,
  $C254&lt;$C$7,  $AC$5*$C254+$AD$5,
  $C254&lt;$C$8,  $AC$6*$C254+$AD$6,
  $C254&lt;$C$9, $AC$7*$C254+$AD$7,
  $C254&lt;$C$10, $AC$8*$C254+$AD$8,
  $C254&lt;$C$11, $AC$9*$C254+$AD$9,
  $C254&lt;$C$12,  $AC$10*$C254+$AD$10,
  $C254&lt;$C$13, $AC$11*$C254+$AD$11,
  $AC$12*$C254+$AD$12
)</f>
        <v>3.6799999999999997</v>
      </c>
      <c r="H254" cm="1">
        <f t="array" ref="H254">_xlfn.LET(
  _xlpm.y,$C254,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4" cm="1">
        <f t="array" ref="I254">_xlfn.LET(
  _xlpm.y,$C254,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4" cm="1">
        <f t="array" ref="J254">_xlfn.LET(
  _xlpm.y,$C254,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4" cm="1">
        <f t="array" ref="K254">_xlfn.LET(
  _xlpm.y,$C254,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4" cm="1">
        <f t="array" ref="L254">_xlfn.LET(
  _xlpm.y,$C254,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4" cm="1">
        <f t="array" ref="M254">_xlfn.SWITCH(TRUE,
  $C254&lt;$C$6,  $D$5,
  $C254&lt;$C$7,  $D$6,
  $C254&lt;$C$8,  $D$7,
  $C254&lt;$C$9,  $D$8,
  $C254&lt;$C$10,  $D$9,
  $C254&lt;$C$11,  $D$10,
  $C254&lt;$C$12,  $D$11,
  $C254&lt;$C$13,  $D$12,
  $C254&lt;$C$14,  $D$13,
  $C254&lt;100,  $D$14,
)</f>
        <v>0</v>
      </c>
      <c r="N254">
        <f>主翼翼型1!$R$18*'主翼(平面形結果)'!H254+主翼翼型2!$R$18*'主翼(平面形結果)'!I254+主翼翼型3!$R$18*'主翼(平面形結果)'!J254+主翼翼型4!$R$18*'主翼(平面形結果)'!K254+主翼翼型5!$R$18*'主翼(平面形結果)'!L254</f>
        <v>13.990265696087992</v>
      </c>
      <c r="O254">
        <f t="shared" si="0"/>
        <v>108.56954917098685</v>
      </c>
    </row>
    <row r="255" spans="2:15">
      <c r="B255">
        <f>'主翼(型紙出力)'!B98</f>
        <v>47</v>
      </c>
      <c r="C255">
        <f>INT(('主翼(型紙出力)'!C98)*1000)/1000</f>
        <v>7.15</v>
      </c>
      <c r="D255">
        <f>'主翼(型紙出力)'!E98</f>
        <v>0.15</v>
      </c>
      <c r="E255">
        <f>'主翼(重量推算)'!CE95</f>
        <v>1.4883540605367462</v>
      </c>
      <c r="F255" s="244" cm="1">
        <f t="array" ref="F255">_xlfn.SWITCH(TRUE,
  $C255&lt;$C$6,  $AA$4*$C255+$AB$4,
  $C255&lt;$C$7,  $AA$5*$C255+$AB$5,
  $C255&lt;$C$8,  $AA$6*$C255+$AB$6,
  $C255&lt;$C$9, $AA$7*$C255+$AB$7,
  $C255&lt;$C$10, $AA$8*$C255+$AB$8,
  $C255&lt;$C$11, $AA$9*$C255+$AB$9,
  $C255&lt;$C$12,  $AA$10*$C255+$AB$10,
  $C255&lt;$C$13, $AA$11*$C255+$AB$11,
  $AA$12*$C255+$AB$12
)</f>
        <v>0.76752727272727261</v>
      </c>
      <c r="G255" s="244" cm="1">
        <f t="array" ref="G255">_xlfn.SWITCH(TRUE,
  $C255&lt;$C$6,  $AC$4*$C255+$AD$4,
  $C255&lt;$C$7,  $AC$5*$C255+$AD$5,
  $C255&lt;$C$8,  $AC$6*$C255+$AD$6,
  $C255&lt;$C$9, $AC$7*$C255+$AD$7,
  $C255&lt;$C$10, $AC$8*$C255+$AD$8,
  $C255&lt;$C$11, $AC$9*$C255+$AD$9,
  $C255&lt;$C$12,  $AC$10*$C255+$AD$10,
  $C255&lt;$C$13, $AC$11*$C255+$AD$11,
  $AC$12*$C255+$AD$12
)</f>
        <v>3.6799999999999997</v>
      </c>
      <c r="H255" cm="1">
        <f t="array" ref="H255">_xlfn.LET(
  _xlpm.y,$C255,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5" cm="1">
        <f t="array" ref="I255">_xlfn.LET(
  _xlpm.y,$C255,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5" cm="1">
        <f t="array" ref="J255">_xlfn.LET(
  _xlpm.y,$C255,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5" cm="1">
        <f t="array" ref="K255">_xlfn.LET(
  _xlpm.y,$C255,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5" cm="1">
        <f t="array" ref="L255">_xlfn.LET(
  _xlpm.y,$C255,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5" cm="1">
        <f t="array" ref="M255">_xlfn.SWITCH(TRUE,
  $C255&lt;$C$6,  $D$5,
  $C255&lt;$C$7,  $D$6,
  $C255&lt;$C$8,  $D$7,
  $C255&lt;$C$9,  $D$8,
  $C255&lt;$C$10,  $D$9,
  $C255&lt;$C$11,  $D$10,
  $C255&lt;$C$12,  $D$11,
  $C255&lt;$C$13,  $D$12,
  $C255&lt;$C$14,  $D$13,
  $C255&lt;100,  $D$14,
)</f>
        <v>0</v>
      </c>
      <c r="N255">
        <f>主翼翼型1!$R$18*'主翼(平面形結果)'!H255+主翼翼型2!$R$18*'主翼(平面形結果)'!I255+主翼翼型3!$R$18*'主翼(平面形結果)'!J255+主翼翼型4!$R$18*'主翼(平面形結果)'!K255+主翼翼型5!$R$18*'主翼(平面形結果)'!L255</f>
        <v>13.990265696087992</v>
      </c>
      <c r="O255">
        <f t="shared" si="0"/>
        <v>107.37910474448334</v>
      </c>
    </row>
    <row r="256" spans="2:15">
      <c r="B256">
        <f>'主翼(型紙出力)'!B99</f>
        <v>48</v>
      </c>
      <c r="C256">
        <f>INT(('主翼(型紙出力)'!C99)*1000)/1000</f>
        <v>7.3</v>
      </c>
      <c r="D256">
        <f>'主翼(型紙出力)'!E99</f>
        <v>0.15</v>
      </c>
      <c r="E256">
        <f>'主翼(重量推算)'!CE96</f>
        <v>1.4330252282169205</v>
      </c>
      <c r="F256" s="244" cm="1">
        <f t="array" ref="F256">_xlfn.SWITCH(TRUE,
  $C256&lt;$C$6,  $AA$4*$C256+$AB$4,
  $C256&lt;$C$7,  $AA$5*$C256+$AB$5,
  $C256&lt;$C$8,  $AA$6*$C256+$AB$6,
  $C256&lt;$C$9, $AA$7*$C256+$AB$7,
  $C256&lt;$C$10, $AA$8*$C256+$AB$8,
  $C256&lt;$C$11, $AA$9*$C256+$AB$9,
  $C256&lt;$C$12,  $AA$10*$C256+$AB$10,
  $C256&lt;$C$13, $AA$11*$C256+$AB$11,
  $AA$12*$C256+$AB$12
)</f>
        <v>0.75901818181818181</v>
      </c>
      <c r="G256" s="244" cm="1">
        <f t="array" ref="G256">_xlfn.SWITCH(TRUE,
  $C256&lt;$C$6,  $AC$4*$C256+$AD$4,
  $C256&lt;$C$7,  $AC$5*$C256+$AD$5,
  $C256&lt;$C$8,  $AC$6*$C256+$AD$6,
  $C256&lt;$C$9, $AC$7*$C256+$AD$7,
  $C256&lt;$C$10, $AC$8*$C256+$AD$8,
  $C256&lt;$C$11, $AC$9*$C256+$AD$9,
  $C256&lt;$C$12,  $AC$10*$C256+$AD$10,
  $C256&lt;$C$13, $AC$11*$C256+$AD$11,
  $AC$12*$C256+$AD$12
)</f>
        <v>3.6799999999999997</v>
      </c>
      <c r="H256" cm="1">
        <f t="array" ref="H256">_xlfn.LET(
  _xlpm.y,$C256,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6" cm="1">
        <f t="array" ref="I256">_xlfn.LET(
  _xlpm.y,$C256,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6" cm="1">
        <f t="array" ref="J256">_xlfn.LET(
  _xlpm.y,$C256,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6" cm="1">
        <f t="array" ref="K256">_xlfn.LET(
  _xlpm.y,$C256,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6" cm="1">
        <f t="array" ref="L256">_xlfn.LET(
  _xlpm.y,$C256,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6" cm="1">
        <f t="array" ref="M256">_xlfn.SWITCH(TRUE,
  $C256&lt;$C$6,  $D$5,
  $C256&lt;$C$7,  $D$6,
  $C256&lt;$C$8,  $D$7,
  $C256&lt;$C$9,  $D$8,
  $C256&lt;$C$10,  $D$9,
  $C256&lt;$C$11,  $D$10,
  $C256&lt;$C$12,  $D$11,
  $C256&lt;$C$13,  $D$12,
  $C256&lt;$C$14,  $D$13,
  $C256&lt;100,  $D$14,
)</f>
        <v>0</v>
      </c>
      <c r="N256">
        <f>主翼翼型1!$R$18*'主翼(平面形結果)'!H256+主翼翼型2!$R$18*'主翼(平面形結果)'!I256+主翼翼型3!$R$18*'主翼(平面形結果)'!J256+主翼翼型4!$R$18*'主翼(平面形結果)'!K256+主翼翼型5!$R$18*'主翼(平面形結果)'!L256</f>
        <v>13.990265696087992</v>
      </c>
      <c r="O256">
        <f t="shared" si="0"/>
        <v>106.18866031797987</v>
      </c>
    </row>
    <row r="257" spans="2:15">
      <c r="B257">
        <f>'主翼(型紙出力)'!B100</f>
        <v>49</v>
      </c>
      <c r="C257">
        <f>INT(('主翼(型紙出力)'!C100)*1000)/1000</f>
        <v>7.45</v>
      </c>
      <c r="D257">
        <f>'主翼(型紙出力)'!E100</f>
        <v>0.15</v>
      </c>
      <c r="E257">
        <f>'主翼(重量推算)'!CE97</f>
        <v>1.4437010567441459</v>
      </c>
      <c r="F257" s="244" cm="1">
        <f t="array" ref="F257">_xlfn.SWITCH(TRUE,
  $C257&lt;$C$6,  $AA$4*$C257+$AB$4,
  $C257&lt;$C$7,  $AA$5*$C257+$AB$5,
  $C257&lt;$C$8,  $AA$6*$C257+$AB$6,
  $C257&lt;$C$9, $AA$7*$C257+$AB$7,
  $C257&lt;$C$10, $AA$8*$C257+$AB$8,
  $C257&lt;$C$11, $AA$9*$C257+$AB$9,
  $C257&lt;$C$12,  $AA$10*$C257+$AB$10,
  $C257&lt;$C$13, $AA$11*$C257+$AB$11,
  $AA$12*$C257+$AB$12
)</f>
        <v>0.75050909090909079</v>
      </c>
      <c r="G257" s="244" cm="1">
        <f t="array" ref="G257">_xlfn.SWITCH(TRUE,
  $C257&lt;$C$6,  $AC$4*$C257+$AD$4,
  $C257&lt;$C$7,  $AC$5*$C257+$AD$5,
  $C257&lt;$C$8,  $AC$6*$C257+$AD$6,
  $C257&lt;$C$9, $AC$7*$C257+$AD$7,
  $C257&lt;$C$10, $AC$8*$C257+$AD$8,
  $C257&lt;$C$11, $AC$9*$C257+$AD$9,
  $C257&lt;$C$12,  $AC$10*$C257+$AD$10,
  $C257&lt;$C$13, $AC$11*$C257+$AD$11,
  $AC$12*$C257+$AD$12
)</f>
        <v>3.6799999999999997</v>
      </c>
      <c r="H257" cm="1">
        <f t="array" ref="H257">_xlfn.LET(
  _xlpm.y,$C257,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7" cm="1">
        <f t="array" ref="I257">_xlfn.LET(
  _xlpm.y,$C257,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7" cm="1">
        <f t="array" ref="J257">_xlfn.LET(
  _xlpm.y,$C257,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7" cm="1">
        <f t="array" ref="K257">_xlfn.LET(
  _xlpm.y,$C257,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7" cm="1">
        <f t="array" ref="L257">_xlfn.LET(
  _xlpm.y,$C257,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7" cm="1">
        <f t="array" ref="M257">_xlfn.SWITCH(TRUE,
  $C257&lt;$C$6,  $D$5,
  $C257&lt;$C$7,  $D$6,
  $C257&lt;$C$8,  $D$7,
  $C257&lt;$C$9,  $D$8,
  $C257&lt;$C$10,  $D$9,
  $C257&lt;$C$11,  $D$10,
  $C257&lt;$C$12,  $D$11,
  $C257&lt;$C$13,  $D$12,
  $C257&lt;$C$14,  $D$13,
  $C257&lt;100,  $D$14,
)</f>
        <v>0</v>
      </c>
      <c r="N257">
        <f>主翼翼型1!$R$18*'主翼(平面形結果)'!H257+主翼翼型2!$R$18*'主翼(平面形結果)'!I257+主翼翼型3!$R$18*'主翼(平面形結果)'!J257+主翼翼型4!$R$18*'主翼(平面形結果)'!K257+主翼翼型5!$R$18*'主翼(平面形結果)'!L257</f>
        <v>13.990265696087992</v>
      </c>
      <c r="O257">
        <f t="shared" si="0"/>
        <v>104.99821589147636</v>
      </c>
    </row>
    <row r="258" spans="2:15">
      <c r="B258">
        <f>'主翼(型紙出力)'!B101</f>
        <v>50</v>
      </c>
      <c r="C258">
        <f>INT(('主翼(型紙出力)'!C101)*1000)/1000</f>
        <v>7.6</v>
      </c>
      <c r="D258">
        <f>'主翼(型紙出力)'!E101</f>
        <v>0.15</v>
      </c>
      <c r="E258">
        <f>'主翼(重量推算)'!CE98</f>
        <v>1.4214287806062631</v>
      </c>
      <c r="F258" s="244" cm="1">
        <f t="array" ref="F258">_xlfn.SWITCH(TRUE,
  $C258&lt;$C$6,  $AA$4*$C258+$AB$4,
  $C258&lt;$C$7,  $AA$5*$C258+$AB$5,
  $C258&lt;$C$8,  $AA$6*$C258+$AB$6,
  $C258&lt;$C$9, $AA$7*$C258+$AB$7,
  $C258&lt;$C$10, $AA$8*$C258+$AB$8,
  $C258&lt;$C$11, $AA$9*$C258+$AB$9,
  $C258&lt;$C$12,  $AA$10*$C258+$AB$10,
  $C258&lt;$C$13, $AA$11*$C258+$AB$11,
  $AA$12*$C258+$AB$12
)</f>
        <v>0.74199999999999977</v>
      </c>
      <c r="G258" s="244" cm="1">
        <f t="array" ref="G258">_xlfn.SWITCH(TRUE,
  $C258&lt;$C$6,  $AC$4*$C258+$AD$4,
  $C258&lt;$C$7,  $AC$5*$C258+$AD$5,
  $C258&lt;$C$8,  $AC$6*$C258+$AD$6,
  $C258&lt;$C$9, $AC$7*$C258+$AD$7,
  $C258&lt;$C$10, $AC$8*$C258+$AD$8,
  $C258&lt;$C$11, $AC$9*$C258+$AD$9,
  $C258&lt;$C$12,  $AC$10*$C258+$AD$10,
  $C258&lt;$C$13, $AC$11*$C258+$AD$11,
  $AC$12*$C258+$AD$12
)</f>
        <v>3.6799999999999997</v>
      </c>
      <c r="H258" cm="1">
        <f t="array" ref="H258">_xlfn.LET(
  _xlpm.y,$C258,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8" cm="1">
        <f t="array" ref="I258">_xlfn.LET(
  _xlpm.y,$C258,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8" cm="1">
        <f t="array" ref="J258">_xlfn.LET(
  _xlpm.y,$C258,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8" cm="1">
        <f t="array" ref="K258">_xlfn.LET(
  _xlpm.y,$C258,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8" cm="1">
        <f t="array" ref="L258">_xlfn.LET(
  _xlpm.y,$C258,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8" cm="1">
        <f t="array" ref="M258">_xlfn.SWITCH(TRUE,
  $C258&lt;$C$6,  $D$5,
  $C258&lt;$C$7,  $D$6,
  $C258&lt;$C$8,  $D$7,
  $C258&lt;$C$9,  $D$8,
  $C258&lt;$C$10,  $D$9,
  $C258&lt;$C$11,  $D$10,
  $C258&lt;$C$12,  $D$11,
  $C258&lt;$C$13,  $D$12,
  $C258&lt;$C$14,  $D$13,
  $C258&lt;100,  $D$14,
)</f>
        <v>6</v>
      </c>
      <c r="N258">
        <f>主翼翼型1!$R$18*'主翼(平面形結果)'!H258+主翼翼型2!$R$18*'主翼(平面形結果)'!I258+主翼翼型3!$R$18*'主翼(平面形結果)'!J258+主翼翼型4!$R$18*'主翼(平面形結果)'!K258+主翼翼型5!$R$18*'主翼(平面形結果)'!L258</f>
        <v>13.990265696087992</v>
      </c>
      <c r="O258">
        <f t="shared" si="0"/>
        <v>103.80777146497287</v>
      </c>
    </row>
    <row r="259" spans="2:15">
      <c r="B259">
        <f>'主翼(型紙出力)'!B102</f>
        <v>51</v>
      </c>
      <c r="C259">
        <f>INT(('主翼(型紙出力)'!C102)*1000)/1000</f>
        <v>7.75</v>
      </c>
      <c r="D259">
        <f>'主翼(型紙出力)'!E102</f>
        <v>0.15</v>
      </c>
      <c r="E259">
        <f>'主翼(重量推算)'!CE99</f>
        <v>1.392299793606705</v>
      </c>
      <c r="F259" s="244" cm="1">
        <f t="array" ref="F259">_xlfn.SWITCH(TRUE,
  $C259&lt;$C$6,  $AA$4*$C259+$AB$4,
  $C259&lt;$C$7,  $AA$5*$C259+$AB$5,
  $C259&lt;$C$8,  $AA$6*$C259+$AB$6,
  $C259&lt;$C$9, $AA$7*$C259+$AB$7,
  $C259&lt;$C$10, $AA$8*$C259+$AB$8,
  $C259&lt;$C$11, $AA$9*$C259+$AB$9,
  $C259&lt;$C$12,  $AA$10*$C259+$AB$10,
  $C259&lt;$C$13, $AA$11*$C259+$AB$11,
  $AA$12*$C259+$AB$12
)</f>
        <v>0.72352631578947346</v>
      </c>
      <c r="G259" s="244" cm="1">
        <f t="array" ref="G259">_xlfn.SWITCH(TRUE,
  $C259&lt;$C$6,  $AC$4*$C259+$AD$4,
  $C259&lt;$C$7,  $AC$5*$C259+$AD$5,
  $C259&lt;$C$8,  $AC$6*$C259+$AD$6,
  $C259&lt;$C$9, $AC$7*$C259+$AD$7,
  $C259&lt;$C$10, $AC$8*$C259+$AD$8,
  $C259&lt;$C$11, $AC$9*$C259+$AD$9,
  $C259&lt;$C$12,  $AC$10*$C259+$AD$10,
  $C259&lt;$C$13, $AC$11*$C259+$AD$11,
  $AC$12*$C259+$AD$12
)</f>
        <v>3.6799999999999997</v>
      </c>
      <c r="H259" cm="1">
        <f t="array" ref="H259">_xlfn.LET(
  _xlpm.y,$C259,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9" cm="1">
        <f t="array" ref="I259">_xlfn.LET(
  _xlpm.y,$C259,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9" cm="1">
        <f t="array" ref="J259">_xlfn.LET(
  _xlpm.y,$C259,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9" cm="1">
        <f t="array" ref="K259">_xlfn.LET(
  _xlpm.y,$C259,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9" cm="1">
        <f t="array" ref="L259">_xlfn.LET(
  _xlpm.y,$C259,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9" cm="1">
        <f t="array" ref="M259">_xlfn.SWITCH(TRUE,
  $C259&lt;$C$6,  $D$5,
  $C259&lt;$C$7,  $D$6,
  $C259&lt;$C$8,  $D$7,
  $C259&lt;$C$9,  $D$8,
  $C259&lt;$C$10,  $D$9,
  $C259&lt;$C$11,  $D$10,
  $C259&lt;$C$12,  $D$11,
  $C259&lt;$C$13,  $D$12,
  $C259&lt;$C$14,  $D$13,
  $C259&lt;100,  $D$14,
)</f>
        <v>6</v>
      </c>
      <c r="N259">
        <f>主翼翼型1!$R$18*'主翼(平面形結果)'!H259+主翼翼型2!$R$18*'主翼(平面形結果)'!I259+主翼翼型3!$R$18*'主翼(平面形結果)'!J259+主翼翼型4!$R$18*'主翼(平面形結果)'!K259+主翼翼型5!$R$18*'主翼(平面形結果)'!L259</f>
        <v>13.990265696087992</v>
      </c>
      <c r="O259">
        <f t="shared" si="0"/>
        <v>101.22325396006397</v>
      </c>
    </row>
    <row r="260" spans="2:15">
      <c r="B260">
        <f>'主翼(型紙出力)'!B103</f>
        <v>52</v>
      </c>
      <c r="C260">
        <f>INT(('主翼(型紙出力)'!C103)*1000)/1000</f>
        <v>7.9</v>
      </c>
      <c r="D260">
        <f>'主翼(型紙出力)'!E103</f>
        <v>0.15</v>
      </c>
      <c r="E260">
        <f>'主翼(重量推算)'!CE100</f>
        <v>1.3348805126214873</v>
      </c>
      <c r="F260" s="244" cm="1">
        <f t="array" ref="F260">_xlfn.SWITCH(TRUE,
  $C260&lt;$C$6,  $AA$4*$C260+$AB$4,
  $C260&lt;$C$7,  $AA$5*$C260+$AB$5,
  $C260&lt;$C$8,  $AA$6*$C260+$AB$6,
  $C260&lt;$C$9, $AA$7*$C260+$AB$7,
  $C260&lt;$C$10, $AA$8*$C260+$AB$8,
  $C260&lt;$C$11, $AA$9*$C260+$AB$9,
  $C260&lt;$C$12,  $AA$10*$C260+$AB$10,
  $C260&lt;$C$13, $AA$11*$C260+$AB$11,
  $AA$12*$C260+$AB$12
)</f>
        <v>0.70505263157894715</v>
      </c>
      <c r="G260" s="244" cm="1">
        <f t="array" ref="G260">_xlfn.SWITCH(TRUE,
  $C260&lt;$C$6,  $AC$4*$C260+$AD$4,
  $C260&lt;$C$7,  $AC$5*$C260+$AD$5,
  $C260&lt;$C$8,  $AC$6*$C260+$AD$6,
  $C260&lt;$C$9, $AC$7*$C260+$AD$7,
  $C260&lt;$C$10, $AC$8*$C260+$AD$8,
  $C260&lt;$C$11, $AC$9*$C260+$AD$9,
  $C260&lt;$C$12,  $AC$10*$C260+$AD$10,
  $C260&lt;$C$13, $AC$11*$C260+$AD$11,
  $AC$12*$C260+$AD$12
)</f>
        <v>3.6799999999999997</v>
      </c>
      <c r="H260" cm="1">
        <f t="array" ref="H260">_xlfn.LET(
  _xlpm.y,$C260,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0" cm="1">
        <f t="array" ref="I260">_xlfn.LET(
  _xlpm.y,$C260,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0" cm="1">
        <f t="array" ref="J260">_xlfn.LET(
  _xlpm.y,$C260,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0" cm="1">
        <f t="array" ref="K260">_xlfn.LET(
  _xlpm.y,$C260,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0" cm="1">
        <f t="array" ref="L260">_xlfn.LET(
  _xlpm.y,$C260,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0" cm="1">
        <f t="array" ref="M260">_xlfn.SWITCH(TRUE,
  $C260&lt;$C$6,  $D$5,
  $C260&lt;$C$7,  $D$6,
  $C260&lt;$C$8,  $D$7,
  $C260&lt;$C$9,  $D$8,
  $C260&lt;$C$10,  $D$9,
  $C260&lt;$C$11,  $D$10,
  $C260&lt;$C$12,  $D$11,
  $C260&lt;$C$13,  $D$12,
  $C260&lt;$C$14,  $D$13,
  $C260&lt;100,  $D$14,
)</f>
        <v>6</v>
      </c>
      <c r="N260">
        <f>主翼翼型1!$R$18*'主翼(平面形結果)'!H260+主翼翼型2!$R$18*'主翼(平面形結果)'!I260+主翼翼型3!$R$18*'主翼(平面形結果)'!J260+主翼翼型4!$R$18*'主翼(平面形結果)'!K260+主翼翼型5!$R$18*'主翼(平面形結果)'!L260</f>
        <v>13.990265696087992</v>
      </c>
      <c r="O260">
        <f t="shared" si="0"/>
        <v>98.638736455155097</v>
      </c>
    </row>
    <row r="261" spans="2:15">
      <c r="B261">
        <f>'主翼(型紙出力)'!B104</f>
        <v>53</v>
      </c>
      <c r="C261">
        <f>INT(('主翼(型紙出力)'!C104)*1000)/1000</f>
        <v>8.0500000000000007</v>
      </c>
      <c r="D261">
        <f>'主翼(型紙出力)'!E104</f>
        <v>0.15</v>
      </c>
      <c r="E261">
        <f>'主翼(重量推算)'!CE101</f>
        <v>1.3345530025275816</v>
      </c>
      <c r="F261" s="244" cm="1">
        <f t="array" ref="F261">_xlfn.SWITCH(TRUE,
  $C261&lt;$C$6,  $AA$4*$C261+$AB$4,
  $C261&lt;$C$7,  $AA$5*$C261+$AB$5,
  $C261&lt;$C$8,  $AA$6*$C261+$AB$6,
  $C261&lt;$C$9, $AA$7*$C261+$AB$7,
  $C261&lt;$C$10, $AA$8*$C261+$AB$8,
  $C261&lt;$C$11, $AA$9*$C261+$AB$9,
  $C261&lt;$C$12,  $AA$10*$C261+$AB$10,
  $C261&lt;$C$13, $AA$11*$C261+$AB$11,
  $AA$12*$C261+$AB$12
)</f>
        <v>0.68657894736842084</v>
      </c>
      <c r="G261" s="244" cm="1">
        <f t="array" ref="G261">_xlfn.SWITCH(TRUE,
  $C261&lt;$C$6,  $AC$4*$C261+$AD$4,
  $C261&lt;$C$7,  $AC$5*$C261+$AD$5,
  $C261&lt;$C$8,  $AC$6*$C261+$AD$6,
  $C261&lt;$C$9, $AC$7*$C261+$AD$7,
  $C261&lt;$C$10, $AC$8*$C261+$AD$8,
  $C261&lt;$C$11, $AC$9*$C261+$AD$9,
  $C261&lt;$C$12,  $AC$10*$C261+$AD$10,
  $C261&lt;$C$13, $AC$11*$C261+$AD$11,
  $AC$12*$C261+$AD$12
)</f>
        <v>3.6799999999999997</v>
      </c>
      <c r="H261" cm="1">
        <f t="array" ref="H261">_xlfn.LET(
  _xlpm.y,$C261,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1" cm="1">
        <f t="array" ref="I261">_xlfn.LET(
  _xlpm.y,$C261,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1" cm="1">
        <f t="array" ref="J261">_xlfn.LET(
  _xlpm.y,$C261,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1" cm="1">
        <f t="array" ref="K261">_xlfn.LET(
  _xlpm.y,$C261,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1" cm="1">
        <f t="array" ref="L261">_xlfn.LET(
  _xlpm.y,$C261,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1" cm="1">
        <f t="array" ref="M261">_xlfn.SWITCH(TRUE,
  $C261&lt;$C$6,  $D$5,
  $C261&lt;$C$7,  $D$6,
  $C261&lt;$C$8,  $D$7,
  $C261&lt;$C$9,  $D$8,
  $C261&lt;$C$10,  $D$9,
  $C261&lt;$C$11,  $D$10,
  $C261&lt;$C$12,  $D$11,
  $C261&lt;$C$13,  $D$12,
  $C261&lt;$C$14,  $D$13,
  $C261&lt;100,  $D$14,
)</f>
        <v>6</v>
      </c>
      <c r="N261">
        <f>主翼翼型1!$R$18*'主翼(平面形結果)'!H261+主翼翼型2!$R$18*'主翼(平面形結果)'!I261+主翼翼型3!$R$18*'主翼(平面形結果)'!J261+主翼翼型4!$R$18*'主翼(平面形結果)'!K261+主翼翼型5!$R$18*'主翼(平面形結果)'!L261</f>
        <v>13.990265696087992</v>
      </c>
      <c r="O261">
        <f t="shared" si="0"/>
        <v>96.054218950246209</v>
      </c>
    </row>
    <row r="262" spans="2:15">
      <c r="B262">
        <f>'主翼(型紙出力)'!B105</f>
        <v>54</v>
      </c>
      <c r="C262">
        <f>INT(('主翼(型紙出力)'!C105)*1000)/1000</f>
        <v>8.1999999999999993</v>
      </c>
      <c r="D262">
        <f>'主翼(型紙出力)'!E105</f>
        <v>0.15</v>
      </c>
      <c r="E262">
        <f>'主翼(重量推算)'!CE102</f>
        <v>1.2803792437821562</v>
      </c>
      <c r="F262" s="244" cm="1">
        <f t="array" ref="F262">_xlfn.SWITCH(TRUE,
  $C262&lt;$C$6,  $AA$4*$C262+$AB$4,
  $C262&lt;$C$7,  $AA$5*$C262+$AB$5,
  $C262&lt;$C$8,  $AA$6*$C262+$AB$6,
  $C262&lt;$C$9, $AA$7*$C262+$AB$7,
  $C262&lt;$C$10, $AA$8*$C262+$AB$8,
  $C262&lt;$C$11, $AA$9*$C262+$AB$9,
  $C262&lt;$C$12,  $AA$10*$C262+$AB$10,
  $C262&lt;$C$13, $AA$11*$C262+$AB$11,
  $AA$12*$C262+$AB$12
)</f>
        <v>0.66810526315789476</v>
      </c>
      <c r="G262" s="244" cm="1">
        <f t="array" ref="G262">_xlfn.SWITCH(TRUE,
  $C262&lt;$C$6,  $AC$4*$C262+$AD$4,
  $C262&lt;$C$7,  $AC$5*$C262+$AD$5,
  $C262&lt;$C$8,  $AC$6*$C262+$AD$6,
  $C262&lt;$C$9, $AC$7*$C262+$AD$7,
  $C262&lt;$C$10, $AC$8*$C262+$AD$8,
  $C262&lt;$C$11, $AC$9*$C262+$AD$9,
  $C262&lt;$C$12,  $AC$10*$C262+$AD$10,
  $C262&lt;$C$13, $AC$11*$C262+$AD$11,
  $AC$12*$C262+$AD$12
)</f>
        <v>3.6799999999999997</v>
      </c>
      <c r="H262" cm="1">
        <f t="array" ref="H262">_xlfn.LET(
  _xlpm.y,$C262,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2" cm="1">
        <f t="array" ref="I262">_xlfn.LET(
  _xlpm.y,$C262,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2" cm="1">
        <f t="array" ref="J262">_xlfn.LET(
  _xlpm.y,$C262,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2" cm="1">
        <f t="array" ref="K262">_xlfn.LET(
  _xlpm.y,$C262,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2" cm="1">
        <f t="array" ref="L262">_xlfn.LET(
  _xlpm.y,$C262,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2" cm="1">
        <f t="array" ref="M262">_xlfn.SWITCH(TRUE,
  $C262&lt;$C$6,  $D$5,
  $C262&lt;$C$7,  $D$6,
  $C262&lt;$C$8,  $D$7,
  $C262&lt;$C$9,  $D$8,
  $C262&lt;$C$10,  $D$9,
  $C262&lt;$C$11,  $D$10,
  $C262&lt;$C$12,  $D$11,
  $C262&lt;$C$13,  $D$12,
  $C262&lt;$C$14,  $D$13,
  $C262&lt;100,  $D$14,
)</f>
        <v>6</v>
      </c>
      <c r="N262">
        <f>主翼翼型1!$R$18*'主翼(平面形結果)'!H262+主翼翼型2!$R$18*'主翼(平面形結果)'!I262+主翼翼型3!$R$18*'主翼(平面形結果)'!J262+主翼翼型4!$R$18*'主翼(平面形結果)'!K262+主翼翼型5!$R$18*'主翼(平面形結果)'!L262</f>
        <v>13.990265696087992</v>
      </c>
      <c r="O262">
        <f t="shared" si="0"/>
        <v>93.46970144533735</v>
      </c>
    </row>
    <row r="263" spans="2:15">
      <c r="B263">
        <f>'主翼(型紙出力)'!B106</f>
        <v>55</v>
      </c>
      <c r="C263">
        <f>INT(('主翼(型紙出力)'!C106)*1000)/1000</f>
        <v>8.35</v>
      </c>
      <c r="D263">
        <f>'主翼(型紙出力)'!E106</f>
        <v>0.2</v>
      </c>
      <c r="E263">
        <f>'主翼(重量推算)'!CE103</f>
        <v>2.5944811030154651</v>
      </c>
      <c r="F263" s="244" cm="1">
        <f t="array" ref="F263">_xlfn.SWITCH(TRUE,
  $C263&lt;$C$6,  $AA$4*$C263+$AB$4,
  $C263&lt;$C$7,  $AA$5*$C263+$AB$5,
  $C263&lt;$C$8,  $AA$6*$C263+$AB$6,
  $C263&lt;$C$9, $AA$7*$C263+$AB$7,
  $C263&lt;$C$10, $AA$8*$C263+$AB$8,
  $C263&lt;$C$11, $AA$9*$C263+$AB$9,
  $C263&lt;$C$12,  $AA$10*$C263+$AB$10,
  $C263&lt;$C$13, $AA$11*$C263+$AB$11,
  $AA$12*$C263+$AB$12
)</f>
        <v>0.64963157894736834</v>
      </c>
      <c r="G263" s="244" cm="1">
        <f t="array" ref="G263">_xlfn.SWITCH(TRUE,
  $C263&lt;$C$6,  $AC$4*$C263+$AD$4,
  $C263&lt;$C$7,  $AC$5*$C263+$AD$5,
  $C263&lt;$C$8,  $AC$6*$C263+$AD$6,
  $C263&lt;$C$9, $AC$7*$C263+$AD$7,
  $C263&lt;$C$10, $AC$8*$C263+$AD$8,
  $C263&lt;$C$11, $AC$9*$C263+$AD$9,
  $C263&lt;$C$12,  $AC$10*$C263+$AD$10,
  $C263&lt;$C$13, $AC$11*$C263+$AD$11,
  $AC$12*$C263+$AD$12
)</f>
        <v>3.6799999999999997</v>
      </c>
      <c r="H263" cm="1">
        <f t="array" ref="H263">_xlfn.LET(
  _xlpm.y,$C263,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3" cm="1">
        <f t="array" ref="I263">_xlfn.LET(
  _xlpm.y,$C263,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3" cm="1">
        <f t="array" ref="J263">_xlfn.LET(
  _xlpm.y,$C263,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3" cm="1">
        <f t="array" ref="K263">_xlfn.LET(
  _xlpm.y,$C263,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3" cm="1">
        <f t="array" ref="L263">_xlfn.LET(
  _xlpm.y,$C263,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3" cm="1">
        <f t="array" ref="M263">_xlfn.SWITCH(TRUE,
  $C263&lt;$C$6,  $D$5,
  $C263&lt;$C$7,  $D$6,
  $C263&lt;$C$8,  $D$7,
  $C263&lt;$C$9,  $D$8,
  $C263&lt;$C$10,  $D$9,
  $C263&lt;$C$11,  $D$10,
  $C263&lt;$C$12,  $D$11,
  $C263&lt;$C$13,  $D$12,
  $C263&lt;$C$14,  $D$13,
  $C263&lt;100,  $D$14,
)</f>
        <v>6</v>
      </c>
      <c r="N263">
        <f>主翼翼型1!$R$18*'主翼(平面形結果)'!H263+主翼翼型2!$R$18*'主翼(平面形結果)'!I263+主翼翼型3!$R$18*'主翼(平面形結果)'!J263+主翼翼型4!$R$18*'主翼(平面形結果)'!K263+主翼翼型5!$R$18*'主翼(平面形結果)'!L263</f>
        <v>13.990265696087992</v>
      </c>
      <c r="O263">
        <f t="shared" si="0"/>
        <v>90.885183940428448</v>
      </c>
    </row>
    <row r="264" spans="2:15">
      <c r="B264">
        <f>'主翼(型紙出力)'!B107</f>
        <v>56</v>
      </c>
      <c r="C264">
        <f>INT(('主翼(型紙出力)'!C107)*1000)/1000</f>
        <v>8.5500000000000007</v>
      </c>
      <c r="D264">
        <f>'主翼(型紙出力)'!E107</f>
        <v>0.17499999999999999</v>
      </c>
      <c r="E264">
        <f>'主翼(重量推算)'!CE104</f>
        <v>4.2930485278773753</v>
      </c>
      <c r="F264" s="244" cm="1">
        <f t="array" ref="F264">_xlfn.SWITCH(TRUE,
  $C264&lt;$C$6,  $AA$4*$C264+$AB$4,
  $C264&lt;$C$7,  $AA$5*$C264+$AB$5,
  $C264&lt;$C$8,  $AA$6*$C264+$AB$6,
  $C264&lt;$C$9, $AA$7*$C264+$AB$7,
  $C264&lt;$C$10, $AA$8*$C264+$AB$8,
  $C264&lt;$C$11, $AA$9*$C264+$AB$9,
  $C264&lt;$C$12,  $AA$10*$C264+$AB$10,
  $C264&lt;$C$13, $AA$11*$C264+$AB$11,
  $AA$12*$C264+$AB$12
)</f>
        <v>0.62500000000000011</v>
      </c>
      <c r="G264" s="244" cm="1">
        <f t="array" ref="G264">_xlfn.SWITCH(TRUE,
  $C264&lt;$C$6,  $AC$4*$C264+$AD$4,
  $C264&lt;$C$7,  $AC$5*$C264+$AD$5,
  $C264&lt;$C$8,  $AC$6*$C264+$AD$6,
  $C264&lt;$C$9, $AC$7*$C264+$AD$7,
  $C264&lt;$C$10, $AC$8*$C264+$AD$8,
  $C264&lt;$C$11, $AC$9*$C264+$AD$9,
  $C264&lt;$C$12,  $AC$10*$C264+$AD$10,
  $C264&lt;$C$13, $AC$11*$C264+$AD$11,
  $AC$12*$C264+$AD$12
)</f>
        <v>3.6799999999999997</v>
      </c>
      <c r="H264" cm="1">
        <f t="array" ref="H264">_xlfn.LET(
  _xlpm.y,$C264,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4" cm="1">
        <f t="array" ref="I264">_xlfn.LET(
  _xlpm.y,$C264,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4" cm="1">
        <f t="array" ref="J264">_xlfn.LET(
  _xlpm.y,$C264,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4" cm="1">
        <f t="array" ref="K264">_xlfn.LET(
  _xlpm.y,$C264,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4" cm="1">
        <f t="array" ref="L264">_xlfn.LET(
  _xlpm.y,$C264,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4" cm="1">
        <f t="array" ref="M264">_xlfn.SWITCH(TRUE,
  $C264&lt;$C$6,  $D$5,
  $C264&lt;$C$7,  $D$6,
  $C264&lt;$C$8,  $D$7,
  $C264&lt;$C$9,  $D$8,
  $C264&lt;$C$10,  $D$9,
  $C264&lt;$C$11,  $D$10,
  $C264&lt;$C$12,  $D$11,
  $C264&lt;$C$13,  $D$12,
  $C264&lt;$C$14,  $D$13,
  $C264&lt;100,  $D$14,
)</f>
        <v>6</v>
      </c>
      <c r="N264">
        <f>主翼翼型1!$R$18*'主翼(平面形結果)'!H264+主翼翼型2!$R$18*'主翼(平面形結果)'!I264+主翼翼型3!$R$18*'主翼(平面形結果)'!J264+主翼翼型4!$R$18*'主翼(平面形結果)'!K264+主翼翼型5!$R$18*'主翼(平面形結果)'!L264</f>
        <v>13.990265696087992</v>
      </c>
      <c r="O264">
        <f t="shared" si="0"/>
        <v>87.439160600549954</v>
      </c>
    </row>
    <row r="265" spans="2:15">
      <c r="B265">
        <f>'主翼(型紙出力)'!B108</f>
        <v>57</v>
      </c>
      <c r="C265">
        <f>INT(('主翼(型紙出力)'!C108)*1000)/1000</f>
        <v>8.7249999999999996</v>
      </c>
      <c r="D265">
        <f>'主翼(型紙出力)'!E108</f>
        <v>0.15</v>
      </c>
      <c r="E265">
        <f>'主翼(重量推算)'!CE105</f>
        <v>1.9052838391816294</v>
      </c>
      <c r="F265" s="244" cm="1">
        <f t="array" ref="F265">_xlfn.SWITCH(TRUE,
  $C265&lt;$C$6,  $AA$4*$C265+$AB$4,
  $C265&lt;$C$7,  $AA$5*$C265+$AB$5,
  $C265&lt;$C$8,  $AA$6*$C265+$AB$6,
  $C265&lt;$C$9, $AA$7*$C265+$AB$7,
  $C265&lt;$C$10, $AA$8*$C265+$AB$8,
  $C265&lt;$C$11, $AA$9*$C265+$AB$9,
  $C265&lt;$C$12,  $AA$10*$C265+$AB$10,
  $C265&lt;$C$13, $AA$11*$C265+$AB$11,
  $AA$12*$C265+$AB$12
)</f>
        <v>0.62178899082568817</v>
      </c>
      <c r="G265" s="244" cm="1">
        <f t="array" ref="G265">_xlfn.SWITCH(TRUE,
  $C265&lt;$C$6,  $AC$4*$C265+$AD$4,
  $C265&lt;$C$7,  $AC$5*$C265+$AD$5,
  $C265&lt;$C$8,  $AC$6*$C265+$AD$6,
  $C265&lt;$C$9, $AC$7*$C265+$AD$7,
  $C265&lt;$C$10, $AC$8*$C265+$AD$8,
  $C265&lt;$C$11, $AC$9*$C265+$AD$9,
  $C265&lt;$C$12,  $AC$10*$C265+$AD$10,
  $C265&lt;$C$13, $AC$11*$C265+$AD$11,
  $AC$12*$C265+$AD$12
)</f>
        <v>3.61</v>
      </c>
      <c r="H265" cm="1">
        <f t="array" ref="H265">_xlfn.LET(
  _xlpm.y,$C265,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5" cm="1">
        <f t="array" ref="I265">_xlfn.LET(
  _xlpm.y,$C265,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0.93577981651376185</v>
      </c>
      <c r="J265" cm="1">
        <f t="array" ref="J265">_xlfn.LET(
  _xlpm.y,$C265,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6.4220183486238147E-2</v>
      </c>
      <c r="K265" cm="1">
        <f t="array" ref="K265">_xlfn.LET(
  _xlpm.y,$C265,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5" cm="1">
        <f t="array" ref="L265">_xlfn.LET(
  _xlpm.y,$C265,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5" cm="1">
        <f t="array" ref="M265">_xlfn.SWITCH(TRUE,
  $C265&lt;$C$6,  $D$5,
  $C265&lt;$C$7,  $D$6,
  $C265&lt;$C$8,  $D$7,
  $C265&lt;$C$9,  $D$8,
  $C265&lt;$C$10,  $D$9,
  $C265&lt;$C$11,  $D$10,
  $C265&lt;$C$12,  $D$11,
  $C265&lt;$C$13,  $D$12,
  $C265&lt;$C$14,  $D$13,
  $C265&lt;100,  $D$14,
)</f>
        <v>6</v>
      </c>
      <c r="N265">
        <f>主翼翼型1!$R$18*'主翼(平面形結果)'!H265+主翼翼型2!$R$18*'主翼(平面形結果)'!I265+主翼翼型3!$R$18*'主翼(平面形結果)'!J265+主翼翼型4!$R$18*'主翼(平面形結果)'!K265+主翼翼型5!$R$18*'主翼(平面形結果)'!L265</f>
        <v>13.930010957605811</v>
      </c>
      <c r="O265">
        <f t="shared" si="0"/>
        <v>86.615274555204962</v>
      </c>
    </row>
    <row r="266" spans="2:15">
      <c r="B266">
        <f>'主翼(型紙出力)'!B109</f>
        <v>58</v>
      </c>
      <c r="C266">
        <f>INT(('主翼(型紙出力)'!C109)*1000)/1000</f>
        <v>8.875</v>
      </c>
      <c r="D266">
        <f>'主翼(型紙出力)'!E109</f>
        <v>0.15</v>
      </c>
      <c r="E266">
        <f>'主翼(重量推算)'!CE106</f>
        <v>1.0881592480013904</v>
      </c>
      <c r="F266" s="244" cm="1">
        <f t="array" ref="F266">_xlfn.SWITCH(TRUE,
  $C266&lt;$C$6,  $AA$4*$C266+$AB$4,
  $C266&lt;$C$7,  $AA$5*$C266+$AB$5,
  $C266&lt;$C$8,  $AA$6*$C266+$AB$6,
  $C266&lt;$C$9, $AA$7*$C266+$AB$7,
  $C266&lt;$C$10, $AA$8*$C266+$AB$8,
  $C266&lt;$C$11, $AA$9*$C266+$AB$9,
  $C266&lt;$C$12,  $AA$10*$C266+$AB$10,
  $C266&lt;$C$13, $AA$11*$C266+$AB$11,
  $AA$12*$C266+$AB$12
)</f>
        <v>0.6190366972477066</v>
      </c>
      <c r="G266" s="244" cm="1">
        <f t="array" ref="G266">_xlfn.SWITCH(TRUE,
  $C266&lt;$C$6,  $AC$4*$C266+$AD$4,
  $C266&lt;$C$7,  $AC$5*$C266+$AD$5,
  $C266&lt;$C$8,  $AC$6*$C266+$AD$6,
  $C266&lt;$C$9, $AC$7*$C266+$AD$7,
  $C266&lt;$C$10, $AC$8*$C266+$AD$8,
  $C266&lt;$C$11, $AC$9*$C266+$AD$9,
  $C266&lt;$C$12,  $AC$10*$C266+$AD$10,
  $C266&lt;$C$13, $AC$11*$C266+$AD$11,
  $AC$12*$C266+$AD$12
)</f>
        <v>3.55</v>
      </c>
      <c r="H266" cm="1">
        <f t="array" ref="H266">_xlfn.LET(
  _xlpm.y,$C266,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6" cm="1">
        <f t="array" ref="I266">_xlfn.LET(
  _xlpm.y,$C266,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0.88073394495412871</v>
      </c>
      <c r="J266" cm="1">
        <f t="array" ref="J266">_xlfn.LET(
  _xlpm.y,$C266,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0.11926605504587132</v>
      </c>
      <c r="K266" cm="1">
        <f t="array" ref="K266">_xlfn.LET(
  _xlpm.y,$C266,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6" cm="1">
        <f t="array" ref="L266">_xlfn.LET(
  _xlpm.y,$C266,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6" cm="1">
        <f t="array" ref="M266">_xlfn.SWITCH(TRUE,
  $C266&lt;$C$6,  $D$5,
  $C266&lt;$C$7,  $D$6,
  $C266&lt;$C$8,  $D$7,
  $C266&lt;$C$9,  $D$8,
  $C266&lt;$C$10,  $D$9,
  $C266&lt;$C$11,  $D$10,
  $C266&lt;$C$12,  $D$11,
  $C266&lt;$C$13,  $D$12,
  $C266&lt;$C$14,  $D$13,
  $C266&lt;100,  $D$14,
)</f>
        <v>6</v>
      </c>
      <c r="N266">
        <f>主翼翼型1!$R$18*'主翼(平面形結果)'!H266+主翼翼型2!$R$18*'主翼(平面形結果)'!I266+主翼翼型3!$R$18*'主翼(平面形結果)'!J266+主翼翼型4!$R$18*'主翼(平面形結果)'!K266+主翼翼型5!$R$18*'主翼(平面形結果)'!L266</f>
        <v>13.878364038906799</v>
      </c>
      <c r="O266">
        <f t="shared" si="0"/>
        <v>85.912166378462061</v>
      </c>
    </row>
    <row r="267" spans="2:15">
      <c r="B267">
        <f>'主翼(型紙出力)'!B110</f>
        <v>59</v>
      </c>
      <c r="C267">
        <f>INT(('主翼(型紙出力)'!C110)*1000)/1000</f>
        <v>9.0250000000000004</v>
      </c>
      <c r="D267">
        <f>'主翼(型紙出力)'!E110</f>
        <v>0.15</v>
      </c>
      <c r="E267">
        <f>'主翼(重量推算)'!CE107</f>
        <v>1.0935857385744816</v>
      </c>
      <c r="F267" s="244" cm="1">
        <f t="array" ref="F267">_xlfn.SWITCH(TRUE,
  $C267&lt;$C$6,  $AA$4*$C267+$AB$4,
  $C267&lt;$C$7,  $AA$5*$C267+$AB$5,
  $C267&lt;$C$8,  $AA$6*$C267+$AB$6,
  $C267&lt;$C$9, $AA$7*$C267+$AB$7,
  $C267&lt;$C$10, $AA$8*$C267+$AB$8,
  $C267&lt;$C$11, $AA$9*$C267+$AB$9,
  $C267&lt;$C$12,  $AA$10*$C267+$AB$10,
  $C267&lt;$C$13, $AA$11*$C267+$AB$11,
  $AA$12*$C267+$AB$12
)</f>
        <v>0.61628440366972492</v>
      </c>
      <c r="G267" s="244" cm="1">
        <f t="array" ref="G267">_xlfn.SWITCH(TRUE,
  $C267&lt;$C$6,  $AC$4*$C267+$AD$4,
  $C267&lt;$C$7,  $AC$5*$C267+$AD$5,
  $C267&lt;$C$8,  $AC$6*$C267+$AD$6,
  $C267&lt;$C$9, $AC$7*$C267+$AD$7,
  $C267&lt;$C$10, $AC$8*$C267+$AD$8,
  $C267&lt;$C$11, $AC$9*$C267+$AD$9,
  $C267&lt;$C$12,  $AC$10*$C267+$AD$10,
  $C267&lt;$C$13, $AC$11*$C267+$AD$11,
  $AC$12*$C267+$AD$12
)</f>
        <v>3.4899999999999998</v>
      </c>
      <c r="H267" cm="1">
        <f t="array" ref="H267">_xlfn.LET(
  _xlpm.y,$C267,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7" cm="1">
        <f t="array" ref="I267">_xlfn.LET(
  _xlpm.y,$C267,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0.82568807339449557</v>
      </c>
      <c r="J267" cm="1">
        <f t="array" ref="J267">_xlfn.LET(
  _xlpm.y,$C267,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0.17431192660550449</v>
      </c>
      <c r="K267" cm="1">
        <f t="array" ref="K267">_xlfn.LET(
  _xlpm.y,$C267,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7" cm="1">
        <f t="array" ref="L267">_xlfn.LET(
  _xlpm.y,$C267,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7" cm="1">
        <f t="array" ref="M267">_xlfn.SWITCH(TRUE,
  $C267&lt;$C$6,  $D$5,
  $C267&lt;$C$7,  $D$6,
  $C267&lt;$C$8,  $D$7,
  $C267&lt;$C$9,  $D$8,
  $C267&lt;$C$10,  $D$9,
  $C267&lt;$C$11,  $D$10,
  $C267&lt;$C$12,  $D$11,
  $C267&lt;$C$13,  $D$12,
  $C267&lt;$C$14,  $D$13,
  $C267&lt;100,  $D$14,
)</f>
        <v>6</v>
      </c>
      <c r="N267">
        <f>主翼翼型1!$R$18*'主翼(平面形結果)'!H267+主翼翼型2!$R$18*'主翼(平面形結果)'!I267+主翼翼型3!$R$18*'主翼(平面形結果)'!J267+主翼翼型4!$R$18*'主翼(平面形結果)'!K267+主翼翼型5!$R$18*'主翼(平面形結果)'!L267</f>
        <v>13.826717120207787</v>
      </c>
      <c r="O267">
        <f t="shared" si="0"/>
        <v>85.211901151372331</v>
      </c>
    </row>
    <row r="268" spans="2:15">
      <c r="B268">
        <f>'主翼(型紙出力)'!B111</f>
        <v>60</v>
      </c>
      <c r="C268">
        <f>INT(('主翼(型紙出力)'!C111)*1000)/1000</f>
        <v>9.1750000000000007</v>
      </c>
      <c r="D268">
        <f>'主翼(型紙出力)'!E111</f>
        <v>0.15</v>
      </c>
      <c r="E268">
        <f>'主翼(重量推算)'!CE108</f>
        <v>1.0560078323868298</v>
      </c>
      <c r="F268" s="244" cm="1">
        <f t="array" ref="F268">_xlfn.SWITCH(TRUE,
  $C268&lt;$C$6,  $AA$4*$C268+$AB$4,
  $C268&lt;$C$7,  $AA$5*$C268+$AB$5,
  $C268&lt;$C$8,  $AA$6*$C268+$AB$6,
  $C268&lt;$C$9, $AA$7*$C268+$AB$7,
  $C268&lt;$C$10, $AA$8*$C268+$AB$8,
  $C268&lt;$C$11, $AA$9*$C268+$AB$9,
  $C268&lt;$C$12,  $AA$10*$C268+$AB$10,
  $C268&lt;$C$13, $AA$11*$C268+$AB$11,
  $AA$12*$C268+$AB$12
)</f>
        <v>0.61353211009174324</v>
      </c>
      <c r="G268" s="244" cm="1">
        <f t="array" ref="G268">_xlfn.SWITCH(TRUE,
  $C268&lt;$C$6,  $AC$4*$C268+$AD$4,
  $C268&lt;$C$7,  $AC$5*$C268+$AD$5,
  $C268&lt;$C$8,  $AC$6*$C268+$AD$6,
  $C268&lt;$C$9, $AC$7*$C268+$AD$7,
  $C268&lt;$C$10, $AC$8*$C268+$AD$8,
  $C268&lt;$C$11, $AC$9*$C268+$AD$9,
  $C268&lt;$C$12,  $AC$10*$C268+$AD$10,
  $C268&lt;$C$13, $AC$11*$C268+$AD$11,
  $AC$12*$C268+$AD$12
)</f>
        <v>3.4299999999999997</v>
      </c>
      <c r="H268" cm="1">
        <f t="array" ref="H268">_xlfn.LET(
  _xlpm.y,$C268,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8" cm="1">
        <f t="array" ref="I268">_xlfn.LET(
  _xlpm.y,$C268,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0.77064220183486232</v>
      </c>
      <c r="J268" cm="1">
        <f t="array" ref="J268">_xlfn.LET(
  _xlpm.y,$C268,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0.22935779816513766</v>
      </c>
      <c r="K268" cm="1">
        <f t="array" ref="K268">_xlfn.LET(
  _xlpm.y,$C268,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8" cm="1">
        <f t="array" ref="L268">_xlfn.LET(
  _xlpm.y,$C268,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8" cm="1">
        <f t="array" ref="M268">_xlfn.SWITCH(TRUE,
  $C268&lt;$C$6,  $D$5,
  $C268&lt;$C$7,  $D$6,
  $C268&lt;$C$8,  $D$7,
  $C268&lt;$C$9,  $D$8,
  $C268&lt;$C$10,  $D$9,
  $C268&lt;$C$11,  $D$10,
  $C268&lt;$C$12,  $D$11,
  $C268&lt;$C$13,  $D$12,
  $C268&lt;$C$14,  $D$13,
  $C268&lt;100,  $D$14,
)</f>
        <v>6</v>
      </c>
      <c r="N268">
        <f>主翼翼型1!$R$18*'主翼(平面形結果)'!H268+主翼翼型2!$R$18*'主翼(平面形結果)'!I268+主翼翼型3!$R$18*'主翼(平面形結果)'!J268+主翼翼型4!$R$18*'主翼(平面形結果)'!K268+主翼翼型5!$R$18*'主翼(平面形結果)'!L268</f>
        <v>13.775070201508775</v>
      </c>
      <c r="O268">
        <f t="shared" si="0"/>
        <v>84.51447887393573</v>
      </c>
    </row>
    <row r="269" spans="2:15">
      <c r="B269">
        <f>'主翼(型紙出力)'!B112</f>
        <v>61</v>
      </c>
      <c r="C269">
        <f>INT(('主翼(型紙出力)'!C112)*1000)/1000</f>
        <v>9.3249999999999993</v>
      </c>
      <c r="D269">
        <f>'主翼(型紙出力)'!E112</f>
        <v>0.15</v>
      </c>
      <c r="E269">
        <f>'主翼(重量推算)'!CE109</f>
        <v>1.060907585978238</v>
      </c>
      <c r="F269" s="244" cm="1">
        <f t="array" ref="F269">_xlfn.SWITCH(TRUE,
  $C269&lt;$C$6,  $AA$4*$C269+$AB$4,
  $C269&lt;$C$7,  $AA$5*$C269+$AB$5,
  $C269&lt;$C$8,  $AA$6*$C269+$AB$6,
  $C269&lt;$C$9, $AA$7*$C269+$AB$7,
  $C269&lt;$C$10, $AA$8*$C269+$AB$8,
  $C269&lt;$C$11, $AA$9*$C269+$AB$9,
  $C269&lt;$C$12,  $AA$10*$C269+$AB$10,
  $C269&lt;$C$13, $AA$11*$C269+$AB$11,
  $AA$12*$C269+$AB$12
)</f>
        <v>0.61077981651376168</v>
      </c>
      <c r="G269" s="244" cm="1">
        <f t="array" ref="G269">_xlfn.SWITCH(TRUE,
  $C269&lt;$C$6,  $AC$4*$C269+$AD$4,
  $C269&lt;$C$7,  $AC$5*$C269+$AD$5,
  $C269&lt;$C$8,  $AC$6*$C269+$AD$6,
  $C269&lt;$C$9, $AC$7*$C269+$AD$7,
  $C269&lt;$C$10, $AC$8*$C269+$AD$8,
  $C269&lt;$C$11, $AC$9*$C269+$AD$9,
  $C269&lt;$C$12,  $AC$10*$C269+$AD$10,
  $C269&lt;$C$13, $AC$11*$C269+$AD$11,
  $AC$12*$C269+$AD$12
)</f>
        <v>3.37</v>
      </c>
      <c r="H269" cm="1">
        <f t="array" ref="H269">_xlfn.LET(
  _xlpm.y,$C269,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9" cm="1">
        <f t="array" ref="I269">_xlfn.LET(
  _xlpm.y,$C269,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0.71559633027522984</v>
      </c>
      <c r="J269" cm="1">
        <f t="array" ref="J269">_xlfn.LET(
  _xlpm.y,$C269,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0.28440366972477016</v>
      </c>
      <c r="K269" cm="1">
        <f t="array" ref="K269">_xlfn.LET(
  _xlpm.y,$C269,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9" cm="1">
        <f t="array" ref="L269">_xlfn.LET(
  _xlpm.y,$C269,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9" cm="1">
        <f t="array" ref="M269">_xlfn.SWITCH(TRUE,
  $C269&lt;$C$6,  $D$5,
  $C269&lt;$C$7,  $D$6,
  $C269&lt;$C$8,  $D$7,
  $C269&lt;$C$9,  $D$8,
  $C269&lt;$C$10,  $D$9,
  $C269&lt;$C$11,  $D$10,
  $C269&lt;$C$12,  $D$11,
  $C269&lt;$C$13,  $D$12,
  $C269&lt;$C$14,  $D$13,
  $C269&lt;100,  $D$14,
)</f>
        <v>6</v>
      </c>
      <c r="N269">
        <f>主翼翼型1!$R$18*'主翼(平面形結果)'!H269+主翼翼型2!$R$18*'主翼(平面形結果)'!I269+主翼翼型3!$R$18*'主翼(平面形結果)'!J269+主翼翼型4!$R$18*'主翼(平面形結果)'!K269+主翼翼型5!$R$18*'主翼(平面形結果)'!L269</f>
        <v>13.723423282809762</v>
      </c>
      <c r="O269">
        <f t="shared" si="0"/>
        <v>83.819899546152314</v>
      </c>
    </row>
    <row r="270" spans="2:15">
      <c r="B270">
        <f>'主翼(型紙出力)'!B113</f>
        <v>62</v>
      </c>
      <c r="C270">
        <f>INT(('主翼(型紙出力)'!C113)*1000)/1000</f>
        <v>9.4749999999999996</v>
      </c>
      <c r="D270">
        <f>'主翼(型紙出力)'!E113</f>
        <v>0.15</v>
      </c>
      <c r="E270">
        <f>'主翼(重量推算)'!CE110</f>
        <v>1.0238830264337375</v>
      </c>
      <c r="F270" s="244" cm="1">
        <f t="array" ref="F270">_xlfn.SWITCH(TRUE,
  $C270&lt;$C$6,  $AA$4*$C270+$AB$4,
  $C270&lt;$C$7,  $AA$5*$C270+$AB$5,
  $C270&lt;$C$8,  $AA$6*$C270+$AB$6,
  $C270&lt;$C$9, $AA$7*$C270+$AB$7,
  $C270&lt;$C$10, $AA$8*$C270+$AB$8,
  $C270&lt;$C$11, $AA$9*$C270+$AB$9,
  $C270&lt;$C$12,  $AA$10*$C270+$AB$10,
  $C270&lt;$C$13, $AA$11*$C270+$AB$11,
  $AA$12*$C270+$AB$12
)</f>
        <v>0.60802752293578</v>
      </c>
      <c r="G270" s="244" cm="1">
        <f t="array" ref="G270">_xlfn.SWITCH(TRUE,
  $C270&lt;$C$6,  $AC$4*$C270+$AD$4,
  $C270&lt;$C$7,  $AC$5*$C270+$AD$5,
  $C270&lt;$C$8,  $AC$6*$C270+$AD$6,
  $C270&lt;$C$9, $AC$7*$C270+$AD$7,
  $C270&lt;$C$10, $AC$8*$C270+$AD$8,
  $C270&lt;$C$11, $AC$9*$C270+$AD$9,
  $C270&lt;$C$12,  $AC$10*$C270+$AD$10,
  $C270&lt;$C$13, $AC$11*$C270+$AD$11,
  $AC$12*$C270+$AD$12
)</f>
        <v>3.31</v>
      </c>
      <c r="H270" cm="1">
        <f t="array" ref="H270">_xlfn.LET(
  _xlpm.y,$C270,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0" cm="1">
        <f t="array" ref="I270">_xlfn.LET(
  _xlpm.y,$C270,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0.6605504587155967</v>
      </c>
      <c r="J270" cm="1">
        <f t="array" ref="J270">_xlfn.LET(
  _xlpm.y,$C270,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0.3394495412844033</v>
      </c>
      <c r="K270" cm="1">
        <f t="array" ref="K270">_xlfn.LET(
  _xlpm.y,$C270,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0" cm="1">
        <f t="array" ref="L270">_xlfn.LET(
  _xlpm.y,$C270,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0" cm="1">
        <f t="array" ref="M270">_xlfn.SWITCH(TRUE,
  $C270&lt;$C$6,  $D$5,
  $C270&lt;$C$7,  $D$6,
  $C270&lt;$C$8,  $D$7,
  $C270&lt;$C$9,  $D$8,
  $C270&lt;$C$10,  $D$9,
  $C270&lt;$C$11,  $D$10,
  $C270&lt;$C$12,  $D$11,
  $C270&lt;$C$13,  $D$12,
  $C270&lt;$C$14,  $D$13,
  $C270&lt;100,  $D$14,
)</f>
        <v>6</v>
      </c>
      <c r="N270">
        <f>主翼翼型1!$R$18*'主翼(平面形結果)'!H270+主翼翼型2!$R$18*'主翼(平面形結果)'!I270+主翼翼型3!$R$18*'主翼(平面形結果)'!J270+主翼翼型4!$R$18*'主翼(平面形結果)'!K270+主翼翼型5!$R$18*'主翼(平面形結果)'!L270</f>
        <v>13.67177636411075</v>
      </c>
      <c r="O270">
        <f t="shared" si="0"/>
        <v>83.128163168022027</v>
      </c>
    </row>
    <row r="271" spans="2:15">
      <c r="B271">
        <f>'主翼(型紙出力)'!B114</f>
        <v>63</v>
      </c>
      <c r="C271">
        <f>INT(('主翼(型紙出力)'!C114)*1000)/1000</f>
        <v>9.625</v>
      </c>
      <c r="D271">
        <f>'主翼(型紙出力)'!E114</f>
        <v>0.15</v>
      </c>
      <c r="E271">
        <f>'主翼(重量推算)'!CE111</f>
        <v>1.0282651253101653</v>
      </c>
      <c r="F271" s="244" cm="1">
        <f t="array" ref="F271">_xlfn.SWITCH(TRUE,
  $C271&lt;$C$6,  $AA$4*$C271+$AB$4,
  $C271&lt;$C$7,  $AA$5*$C271+$AB$5,
  $C271&lt;$C$8,  $AA$6*$C271+$AB$6,
  $C271&lt;$C$9, $AA$7*$C271+$AB$7,
  $C271&lt;$C$10, $AA$8*$C271+$AB$8,
  $C271&lt;$C$11, $AA$9*$C271+$AB$9,
  $C271&lt;$C$12,  $AA$10*$C271+$AB$10,
  $C271&lt;$C$13, $AA$11*$C271+$AB$11,
  $AA$12*$C271+$AB$12
)</f>
        <v>0.60527522935779832</v>
      </c>
      <c r="G271" s="244" cm="1">
        <f t="array" ref="G271">_xlfn.SWITCH(TRUE,
  $C271&lt;$C$6,  $AC$4*$C271+$AD$4,
  $C271&lt;$C$7,  $AC$5*$C271+$AD$5,
  $C271&lt;$C$8,  $AC$6*$C271+$AD$6,
  $C271&lt;$C$9, $AC$7*$C271+$AD$7,
  $C271&lt;$C$10, $AC$8*$C271+$AD$8,
  $C271&lt;$C$11, $AC$9*$C271+$AD$9,
  $C271&lt;$C$12,  $AC$10*$C271+$AD$10,
  $C271&lt;$C$13, $AC$11*$C271+$AD$11,
  $AC$12*$C271+$AD$12
)</f>
        <v>3.25</v>
      </c>
      <c r="H271" cm="1">
        <f t="array" ref="H271">_xlfn.LET(
  _xlpm.y,$C271,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1" cm="1">
        <f t="array" ref="I271">_xlfn.LET(
  _xlpm.y,$C271,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0.60550458715596345</v>
      </c>
      <c r="J271" cm="1">
        <f t="array" ref="J271">_xlfn.LET(
  _xlpm.y,$C271,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0.3944954128440365</v>
      </c>
      <c r="K271" cm="1">
        <f t="array" ref="K271">_xlfn.LET(
  _xlpm.y,$C271,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1" cm="1">
        <f t="array" ref="L271">_xlfn.LET(
  _xlpm.y,$C271,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1" cm="1">
        <f t="array" ref="M271">_xlfn.SWITCH(TRUE,
  $C271&lt;$C$6,  $D$5,
  $C271&lt;$C$7,  $D$6,
  $C271&lt;$C$8,  $D$7,
  $C271&lt;$C$9,  $D$8,
  $C271&lt;$C$10,  $D$9,
  $C271&lt;$C$11,  $D$10,
  $C271&lt;$C$12,  $D$11,
  $C271&lt;$C$13,  $D$12,
  $C271&lt;$C$14,  $D$13,
  $C271&lt;100,  $D$14,
)</f>
        <v>6</v>
      </c>
      <c r="N271">
        <f>主翼翼型1!$R$18*'主翼(平面形結果)'!H271+主翼翼型2!$R$18*'主翼(平面形結果)'!I271+主翼翼型3!$R$18*'主翼(平面形結果)'!J271+主翼翼型4!$R$18*'主翼(平面形結果)'!K271+主翼翼型5!$R$18*'主翼(平面形結果)'!L271</f>
        <v>13.620129445411738</v>
      </c>
      <c r="O271">
        <f t="shared" si="0"/>
        <v>82.439269739544926</v>
      </c>
    </row>
    <row r="272" spans="2:15">
      <c r="B272">
        <f>'主翼(型紙出力)'!B115</f>
        <v>64</v>
      </c>
      <c r="C272">
        <f>INT(('主翼(型紙出力)'!C115)*1000)/1000</f>
        <v>9.7750000000000004</v>
      </c>
      <c r="D272">
        <f>'主翼(型紙出力)'!E115</f>
        <v>0.15</v>
      </c>
      <c r="E272">
        <f>'主翼(重量推算)'!CE112</f>
        <v>0.99178464727954607</v>
      </c>
      <c r="F272" s="244" cm="1">
        <f t="array" ref="F272">_xlfn.SWITCH(TRUE,
  $C272&lt;$C$6,  $AA$4*$C272+$AB$4,
  $C272&lt;$C$7,  $AA$5*$C272+$AB$5,
  $C272&lt;$C$8,  $AA$6*$C272+$AB$6,
  $C272&lt;$C$9, $AA$7*$C272+$AB$7,
  $C272&lt;$C$10, $AA$8*$C272+$AB$8,
  $C272&lt;$C$11, $AA$9*$C272+$AB$9,
  $C272&lt;$C$12,  $AA$10*$C272+$AB$10,
  $C272&lt;$C$13, $AA$11*$C272+$AB$11,
  $AA$12*$C272+$AB$12
)</f>
        <v>0.60252293577981664</v>
      </c>
      <c r="G272" s="244" cm="1">
        <f t="array" ref="G272">_xlfn.SWITCH(TRUE,
  $C272&lt;$C$6,  $AC$4*$C272+$AD$4,
  $C272&lt;$C$7,  $AC$5*$C272+$AD$5,
  $C272&lt;$C$8,  $AC$6*$C272+$AD$6,
  $C272&lt;$C$9, $AC$7*$C272+$AD$7,
  $C272&lt;$C$10, $AC$8*$C272+$AD$8,
  $C272&lt;$C$11, $AC$9*$C272+$AD$9,
  $C272&lt;$C$12,  $AC$10*$C272+$AD$10,
  $C272&lt;$C$13, $AC$11*$C272+$AD$11,
  $AC$12*$C272+$AD$12
)</f>
        <v>3.19</v>
      </c>
      <c r="H272" cm="1">
        <f t="array" ref="H272">_xlfn.LET(
  _xlpm.y,$C272,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2" cm="1">
        <f t="array" ref="I272">_xlfn.LET(
  _xlpm.y,$C272,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0.55045871559633031</v>
      </c>
      <c r="J272" cm="1">
        <f t="array" ref="J272">_xlfn.LET(
  _xlpm.y,$C272,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0.44954128440366964</v>
      </c>
      <c r="K272" cm="1">
        <f t="array" ref="K272">_xlfn.LET(
  _xlpm.y,$C272,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2" cm="1">
        <f t="array" ref="L272">_xlfn.LET(
  _xlpm.y,$C272,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2" cm="1">
        <f t="array" ref="M272">_xlfn.SWITCH(TRUE,
  $C272&lt;$C$6,  $D$5,
  $C272&lt;$C$7,  $D$6,
  $C272&lt;$C$8,  $D$7,
  $C272&lt;$C$9,  $D$8,
  $C272&lt;$C$10,  $D$9,
  $C272&lt;$C$11,  $D$10,
  $C272&lt;$C$12,  $D$11,
  $C272&lt;$C$13,  $D$12,
  $C272&lt;$C$14,  $D$13,
  $C272&lt;100,  $D$14,
)</f>
        <v>6</v>
      </c>
      <c r="N272">
        <f>主翼翼型1!$R$18*'主翼(平面形結果)'!H272+主翼翼型2!$R$18*'主翼(平面形結果)'!I272+主翼翼型3!$R$18*'主翼(平面形結果)'!J272+主翼翼型4!$R$18*'主翼(平面形結果)'!K272+主翼翼型5!$R$18*'主翼(平面形結果)'!L272</f>
        <v>13.568482526712724</v>
      </c>
      <c r="O272">
        <f t="shared" si="0"/>
        <v>81.753219260720954</v>
      </c>
    </row>
    <row r="273" spans="2:15">
      <c r="B273">
        <f>'主翼(型紙出力)'!B116</f>
        <v>65</v>
      </c>
      <c r="C273">
        <f>INT(('主翼(型紙出力)'!C116)*1000)/1000</f>
        <v>9.9250000000000007</v>
      </c>
      <c r="D273">
        <f>'主翼(型紙出力)'!E116</f>
        <v>0.15</v>
      </c>
      <c r="E273">
        <f>'主翼(重量推算)'!CE113</f>
        <v>0.99565808757470142</v>
      </c>
      <c r="F273" s="244" cm="1">
        <f t="array" ref="F273">_xlfn.SWITCH(TRUE,
  $C273&lt;$C$6,  $AA$4*$C273+$AB$4,
  $C273&lt;$C$7,  $AA$5*$C273+$AB$5,
  $C273&lt;$C$8,  $AA$6*$C273+$AB$6,
  $C273&lt;$C$9, $AA$7*$C273+$AB$7,
  $C273&lt;$C$10, $AA$8*$C273+$AB$8,
  $C273&lt;$C$11, $AA$9*$C273+$AB$9,
  $C273&lt;$C$12,  $AA$10*$C273+$AB$10,
  $C273&lt;$C$13, $AA$11*$C273+$AB$11,
  $AA$12*$C273+$AB$12
)</f>
        <v>0.59977064220183496</v>
      </c>
      <c r="G273" s="244" cm="1">
        <f t="array" ref="G273">_xlfn.SWITCH(TRUE,
  $C273&lt;$C$6,  $AC$4*$C273+$AD$4,
  $C273&lt;$C$7,  $AC$5*$C273+$AD$5,
  $C273&lt;$C$8,  $AC$6*$C273+$AD$6,
  $C273&lt;$C$9, $AC$7*$C273+$AD$7,
  $C273&lt;$C$10, $AC$8*$C273+$AD$8,
  $C273&lt;$C$11, $AC$9*$C273+$AD$9,
  $C273&lt;$C$12,  $AC$10*$C273+$AD$10,
  $C273&lt;$C$13, $AC$11*$C273+$AD$11,
  $AC$12*$C273+$AD$12
)</f>
        <v>3.13</v>
      </c>
      <c r="H273" cm="1">
        <f t="array" ref="H273">_xlfn.LET(
  _xlpm.y,$C273,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3" cm="1">
        <f t="array" ref="I273">_xlfn.LET(
  _xlpm.y,$C273,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0.49541284403669716</v>
      </c>
      <c r="J273" cm="1">
        <f t="array" ref="J273">_xlfn.LET(
  _xlpm.y,$C273,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0.50458715596330284</v>
      </c>
      <c r="K273" cm="1">
        <f t="array" ref="K273">_xlfn.LET(
  _xlpm.y,$C273,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3" cm="1">
        <f t="array" ref="L273">_xlfn.LET(
  _xlpm.y,$C273,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3" cm="1">
        <f t="array" ref="M273">_xlfn.SWITCH(TRUE,
  $C273&lt;$C$6,  $D$5,
  $C273&lt;$C$7,  $D$6,
  $C273&lt;$C$8,  $D$7,
  $C273&lt;$C$9,  $D$8,
  $C273&lt;$C$10,  $D$9,
  $C273&lt;$C$11,  $D$10,
  $C273&lt;$C$12,  $D$11,
  $C273&lt;$C$13,  $D$12,
  $C273&lt;$C$14,  $D$13,
  $C273&lt;100,  $D$14,
)</f>
        <v>6</v>
      </c>
      <c r="N273">
        <f>主翼翼型1!$R$18*'主翼(平面形結果)'!H273+主翼翼型2!$R$18*'主翼(平面形結果)'!I273+主翼翼型3!$R$18*'主翼(平面形結果)'!J273+主翼翼型4!$R$18*'主翼(平面形結果)'!K273+主翼翼型5!$R$18*'主翼(平面形結果)'!L273</f>
        <v>13.516835608013714</v>
      </c>
      <c r="O273">
        <f t="shared" ref="O273:O300" si="1">F273*N273/100*1000</f>
        <v>81.070011731550167</v>
      </c>
    </row>
    <row r="274" spans="2:15">
      <c r="B274">
        <f>'主翼(型紙出力)'!B117</f>
        <v>66</v>
      </c>
      <c r="C274">
        <f>INT(('主翼(型紙出力)'!C117)*1000)/1000</f>
        <v>10.074999999999999</v>
      </c>
      <c r="D274">
        <f>'主翼(型紙出力)'!E117</f>
        <v>0.15</v>
      </c>
      <c r="E274">
        <f>'主翼(重量推算)'!CE114</f>
        <v>0.95971251043411043</v>
      </c>
      <c r="F274" s="244" cm="1">
        <f t="array" ref="F274">_xlfn.SWITCH(TRUE,
  $C274&lt;$C$6,  $AA$4*$C274+$AB$4,
  $C274&lt;$C$7,  $AA$5*$C274+$AB$5,
  $C274&lt;$C$8,  $AA$6*$C274+$AB$6,
  $C274&lt;$C$9, $AA$7*$C274+$AB$7,
  $C274&lt;$C$10, $AA$8*$C274+$AB$8,
  $C274&lt;$C$11, $AA$9*$C274+$AB$9,
  $C274&lt;$C$12,  $AA$10*$C274+$AB$10,
  $C274&lt;$C$13, $AA$11*$C274+$AB$11,
  $AA$12*$C274+$AB$12
)</f>
        <v>0.59701834862385339</v>
      </c>
      <c r="G274" s="244" cm="1">
        <f t="array" ref="G274">_xlfn.SWITCH(TRUE,
  $C274&lt;$C$6,  $AC$4*$C274+$AD$4,
  $C274&lt;$C$7,  $AC$5*$C274+$AD$5,
  $C274&lt;$C$8,  $AC$6*$C274+$AD$6,
  $C274&lt;$C$9, $AC$7*$C274+$AD$7,
  $C274&lt;$C$10, $AC$8*$C274+$AD$8,
  $C274&lt;$C$11, $AC$9*$C274+$AD$9,
  $C274&lt;$C$12,  $AC$10*$C274+$AD$10,
  $C274&lt;$C$13, $AC$11*$C274+$AD$11,
  $AC$12*$C274+$AD$12
)</f>
        <v>3.0700000000000003</v>
      </c>
      <c r="H274" cm="1">
        <f t="array" ref="H274">_xlfn.LET(
  _xlpm.y,$C274,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4" cm="1">
        <f t="array" ref="I274">_xlfn.LET(
  _xlpm.y,$C274,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0.44036697247706469</v>
      </c>
      <c r="J274" cm="1">
        <f t="array" ref="J274">_xlfn.LET(
  _xlpm.y,$C274,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0.55963302752293531</v>
      </c>
      <c r="K274" cm="1">
        <f t="array" ref="K274">_xlfn.LET(
  _xlpm.y,$C274,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4" cm="1">
        <f t="array" ref="L274">_xlfn.LET(
  _xlpm.y,$C274,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4" cm="1">
        <f t="array" ref="M274">_xlfn.SWITCH(TRUE,
  $C274&lt;$C$6,  $D$5,
  $C274&lt;$C$7,  $D$6,
  $C274&lt;$C$8,  $D$7,
  $C274&lt;$C$9,  $D$8,
  $C274&lt;$C$10,  $D$9,
  $C274&lt;$C$11,  $D$10,
  $C274&lt;$C$12,  $D$11,
  $C274&lt;$C$13,  $D$12,
  $C274&lt;$C$14,  $D$13,
  $C274&lt;100,  $D$14,
)</f>
        <v>6</v>
      </c>
      <c r="N274">
        <f>主翼翼型1!$R$18*'主翼(平面形結果)'!H274+主翼翼型2!$R$18*'主翼(平面形結果)'!I274+主翼翼型3!$R$18*'主翼(平面形結果)'!J274+主翼翼型4!$R$18*'主翼(平面形結果)'!K274+主翼翼型5!$R$18*'主翼(平面形結果)'!L274</f>
        <v>13.465188689314701</v>
      </c>
      <c r="O274">
        <f t="shared" si="1"/>
        <v>80.389647152032509</v>
      </c>
    </row>
    <row r="275" spans="2:15">
      <c r="B275">
        <f>'主翼(型紙出力)'!B118</f>
        <v>67</v>
      </c>
      <c r="C275">
        <f>INT(('主翼(型紙出力)'!C118)*1000)/1000</f>
        <v>10.225</v>
      </c>
      <c r="D275">
        <f>'主翼(型紙出力)'!E118</f>
        <v>0.15</v>
      </c>
      <c r="E275">
        <f>'主翼(重量推算)'!CE115</f>
        <v>0.96308620169504711</v>
      </c>
      <c r="F275" s="244" cm="1">
        <f t="array" ref="F275">_xlfn.SWITCH(TRUE,
  $C275&lt;$C$6,  $AA$4*$C275+$AB$4,
  $C275&lt;$C$7,  $AA$5*$C275+$AB$5,
  $C275&lt;$C$8,  $AA$6*$C275+$AB$6,
  $C275&lt;$C$9, $AA$7*$C275+$AB$7,
  $C275&lt;$C$10, $AA$8*$C275+$AB$8,
  $C275&lt;$C$11, $AA$9*$C275+$AB$9,
  $C275&lt;$C$12,  $AA$10*$C275+$AB$10,
  $C275&lt;$C$13, $AA$11*$C275+$AB$11,
  $AA$12*$C275+$AB$12
)</f>
        <v>0.59426605504587171</v>
      </c>
      <c r="G275" s="244" cm="1">
        <f t="array" ref="G275">_xlfn.SWITCH(TRUE,
  $C275&lt;$C$6,  $AC$4*$C275+$AD$4,
  $C275&lt;$C$7,  $AC$5*$C275+$AD$5,
  $C275&lt;$C$8,  $AC$6*$C275+$AD$6,
  $C275&lt;$C$9, $AC$7*$C275+$AD$7,
  $C275&lt;$C$10, $AC$8*$C275+$AD$8,
  $C275&lt;$C$11, $AC$9*$C275+$AD$9,
  $C275&lt;$C$12,  $AC$10*$C275+$AD$10,
  $C275&lt;$C$13, $AC$11*$C275+$AD$11,
  $AC$12*$C275+$AD$12
)</f>
        <v>3.01</v>
      </c>
      <c r="H275" cm="1">
        <f t="array" ref="H275">_xlfn.LET(
  _xlpm.y,$C275,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5" cm="1">
        <f t="array" ref="I275">_xlfn.LET(
  _xlpm.y,$C275,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0.38532110091743155</v>
      </c>
      <c r="J275" cm="1">
        <f t="array" ref="J275">_xlfn.LET(
  _xlpm.y,$C275,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0.61467889908256845</v>
      </c>
      <c r="K275" cm="1">
        <f t="array" ref="K275">_xlfn.LET(
  _xlpm.y,$C275,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5" cm="1">
        <f t="array" ref="L275">_xlfn.LET(
  _xlpm.y,$C275,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5" cm="1">
        <f t="array" ref="M275">_xlfn.SWITCH(TRUE,
  $C275&lt;$C$6,  $D$5,
  $C275&lt;$C$7,  $D$6,
  $C275&lt;$C$8,  $D$7,
  $C275&lt;$C$9,  $D$8,
  $C275&lt;$C$10,  $D$9,
  $C275&lt;$C$11,  $D$10,
  $C275&lt;$C$12,  $D$11,
  $C275&lt;$C$13,  $D$12,
  $C275&lt;$C$14,  $D$13,
  $C275&lt;100,  $D$14,
)</f>
        <v>6</v>
      </c>
      <c r="N275">
        <f>主翼翼型1!$R$18*'主翼(平面形結果)'!H275+主翼翼型2!$R$18*'主翼(平面形結果)'!I275+主翼翼型3!$R$18*'主翼(平面形結果)'!J275+主翼翼型4!$R$18*'主翼(平面形結果)'!K275+主翼翼型5!$R$18*'主翼(平面形結果)'!L275</f>
        <v>13.413541770615691</v>
      </c>
      <c r="O275">
        <f t="shared" si="1"/>
        <v>79.712125522168037</v>
      </c>
    </row>
    <row r="276" spans="2:15">
      <c r="B276">
        <f>'主翼(型紙出力)'!B119</f>
        <v>68</v>
      </c>
      <c r="C276">
        <f>INT(('主翼(型紙出力)'!C119)*1000)/1000</f>
        <v>10.375</v>
      </c>
      <c r="D276">
        <f>'主翼(型紙出力)'!E119</f>
        <v>0.15</v>
      </c>
      <c r="E276">
        <f>'主翼(重量推算)'!CE116</f>
        <v>0.92766642978664593</v>
      </c>
      <c r="F276" s="244" cm="1">
        <f t="array" ref="F276">_xlfn.SWITCH(TRUE,
  $C276&lt;$C$6,  $AA$4*$C276+$AB$4,
  $C276&lt;$C$7,  $AA$5*$C276+$AB$5,
  $C276&lt;$C$8,  $AA$6*$C276+$AB$6,
  $C276&lt;$C$9, $AA$7*$C276+$AB$7,
  $C276&lt;$C$10, $AA$8*$C276+$AB$8,
  $C276&lt;$C$11, $AA$9*$C276+$AB$9,
  $C276&lt;$C$12,  $AA$10*$C276+$AB$10,
  $C276&lt;$C$13, $AA$11*$C276+$AB$11,
  $AA$12*$C276+$AB$12
)</f>
        <v>0.59151376146789003</v>
      </c>
      <c r="G276" s="244" cm="1">
        <f t="array" ref="G276">_xlfn.SWITCH(TRUE,
  $C276&lt;$C$6,  $AC$4*$C276+$AD$4,
  $C276&lt;$C$7,  $AC$5*$C276+$AD$5,
  $C276&lt;$C$8,  $AC$6*$C276+$AD$6,
  $C276&lt;$C$9, $AC$7*$C276+$AD$7,
  $C276&lt;$C$10, $AC$8*$C276+$AD$8,
  $C276&lt;$C$11, $AC$9*$C276+$AD$9,
  $C276&lt;$C$12,  $AC$10*$C276+$AD$10,
  $C276&lt;$C$13, $AC$11*$C276+$AD$11,
  $AC$12*$C276+$AD$12
)</f>
        <v>2.95</v>
      </c>
      <c r="H276" cm="1">
        <f t="array" ref="H276">_xlfn.LET(
  _xlpm.y,$C276,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6" cm="1">
        <f t="array" ref="I276">_xlfn.LET(
  _xlpm.y,$C276,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0.33027522935779829</v>
      </c>
      <c r="J276" cm="1">
        <f t="array" ref="J276">_xlfn.LET(
  _xlpm.y,$C276,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0.66972477064220171</v>
      </c>
      <c r="K276" cm="1">
        <f t="array" ref="K276">_xlfn.LET(
  _xlpm.y,$C276,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6" cm="1">
        <f t="array" ref="L276">_xlfn.LET(
  _xlpm.y,$C276,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6" cm="1">
        <f t="array" ref="M276">_xlfn.SWITCH(TRUE,
  $C276&lt;$C$6,  $D$5,
  $C276&lt;$C$7,  $D$6,
  $C276&lt;$C$8,  $D$7,
  $C276&lt;$C$9,  $D$8,
  $C276&lt;$C$10,  $D$9,
  $C276&lt;$C$11,  $D$10,
  $C276&lt;$C$12,  $D$11,
  $C276&lt;$C$13,  $D$12,
  $C276&lt;$C$14,  $D$13,
  $C276&lt;100,  $D$14,
)</f>
        <v>6</v>
      </c>
      <c r="N276">
        <f>主翼翼型1!$R$18*'主翼(平面形結果)'!H276+主翼翼型2!$R$18*'主翼(平面形結果)'!I276+主翼翼型3!$R$18*'主翼(平面形結果)'!J276+主翼翼型4!$R$18*'主翼(平面形結果)'!K276+主翼翼型5!$R$18*'主翼(平面形結果)'!L276</f>
        <v>13.361894851916677</v>
      </c>
      <c r="O276">
        <f t="shared" si="1"/>
        <v>79.037446841956694</v>
      </c>
    </row>
    <row r="277" spans="2:15">
      <c r="B277">
        <f>'主翼(型紙出力)'!B120</f>
        <v>69</v>
      </c>
      <c r="C277">
        <f>INT(('主翼(型紙出力)'!C120)*1000)/1000</f>
        <v>10.525</v>
      </c>
      <c r="D277">
        <f>'主翼(型紙出力)'!E120</f>
        <v>0.15</v>
      </c>
      <c r="E277">
        <f>'主翼(重量推算)'!CE117</f>
        <v>0.93054919465872876</v>
      </c>
      <c r="F277" s="244" cm="1">
        <f t="array" ref="F277">_xlfn.SWITCH(TRUE,
  $C277&lt;$C$6,  $AA$4*$C277+$AB$4,
  $C277&lt;$C$7,  $AA$5*$C277+$AB$5,
  $C277&lt;$C$8,  $AA$6*$C277+$AB$6,
  $C277&lt;$C$9, $AA$7*$C277+$AB$7,
  $C277&lt;$C$10, $AA$8*$C277+$AB$8,
  $C277&lt;$C$11, $AA$9*$C277+$AB$9,
  $C277&lt;$C$12,  $AA$10*$C277+$AB$10,
  $C277&lt;$C$13, $AA$11*$C277+$AB$11,
  $AA$12*$C277+$AB$12
)</f>
        <v>0.58876146788990846</v>
      </c>
      <c r="G277" s="244" cm="1">
        <f t="array" ref="G277">_xlfn.SWITCH(TRUE,
  $C277&lt;$C$6,  $AC$4*$C277+$AD$4,
  $C277&lt;$C$7,  $AC$5*$C277+$AD$5,
  $C277&lt;$C$8,  $AC$6*$C277+$AD$6,
  $C277&lt;$C$9, $AC$7*$C277+$AD$7,
  $C277&lt;$C$10, $AC$8*$C277+$AD$8,
  $C277&lt;$C$11, $AC$9*$C277+$AD$9,
  $C277&lt;$C$12,  $AC$10*$C277+$AD$10,
  $C277&lt;$C$13, $AC$11*$C277+$AD$11,
  $AC$12*$C277+$AD$12
)</f>
        <v>2.8899999999999997</v>
      </c>
      <c r="H277" cm="1">
        <f t="array" ref="H277">_xlfn.LET(
  _xlpm.y,$C277,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7" cm="1">
        <f t="array" ref="I277">_xlfn.LET(
  _xlpm.y,$C277,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0.27522935779816515</v>
      </c>
      <c r="J277" cm="1">
        <f t="array" ref="J277">_xlfn.LET(
  _xlpm.y,$C277,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0.72477064220183485</v>
      </c>
      <c r="K277" cm="1">
        <f t="array" ref="K277">_xlfn.LET(
  _xlpm.y,$C277,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7" cm="1">
        <f t="array" ref="L277">_xlfn.LET(
  _xlpm.y,$C277,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7" cm="1">
        <f t="array" ref="M277">_xlfn.SWITCH(TRUE,
  $C277&lt;$C$6,  $D$5,
  $C277&lt;$C$7,  $D$6,
  $C277&lt;$C$8,  $D$7,
  $C277&lt;$C$9,  $D$8,
  $C277&lt;$C$10,  $D$9,
  $C277&lt;$C$11,  $D$10,
  $C277&lt;$C$12,  $D$11,
  $C277&lt;$C$13,  $D$12,
  $C277&lt;$C$14,  $D$13,
  $C277&lt;100,  $D$14,
)</f>
        <v>6</v>
      </c>
      <c r="N277">
        <f>主翼翼型1!$R$18*'主翼(平面形結果)'!H277+主翼翼型2!$R$18*'主翼(平面形結果)'!I277+主翼翼型3!$R$18*'主翼(平面形結果)'!J277+主翼翼型4!$R$18*'主翼(平面形結果)'!K277+主翼翼型5!$R$18*'主翼(平面形結果)'!L277</f>
        <v>13.310247933217664</v>
      </c>
      <c r="O277">
        <f t="shared" si="1"/>
        <v>78.365611111398522</v>
      </c>
    </row>
    <row r="278" spans="2:15">
      <c r="B278">
        <f>'主翼(型紙出力)'!B121</f>
        <v>70</v>
      </c>
      <c r="C278">
        <f>INT(('主翼(型紙出力)'!C121)*1000)/1000</f>
        <v>10.675000000000001</v>
      </c>
      <c r="D278">
        <f>'主翼(型紙出力)'!E121</f>
        <v>0.15</v>
      </c>
      <c r="E278">
        <f>'主翼(重量推算)'!CE118</f>
        <v>0.89564621784309628</v>
      </c>
      <c r="F278" s="244" cm="1">
        <f t="array" ref="F278">_xlfn.SWITCH(TRUE,
  $C278&lt;$C$6,  $AA$4*$C278+$AB$4,
  $C278&lt;$C$7,  $AA$5*$C278+$AB$5,
  $C278&lt;$C$8,  $AA$6*$C278+$AB$6,
  $C278&lt;$C$9, $AA$7*$C278+$AB$7,
  $C278&lt;$C$10, $AA$8*$C278+$AB$8,
  $C278&lt;$C$11, $AA$9*$C278+$AB$9,
  $C278&lt;$C$12,  $AA$10*$C278+$AB$10,
  $C278&lt;$C$13, $AA$11*$C278+$AB$11,
  $AA$12*$C278+$AB$12
)</f>
        <v>0.58600917431192678</v>
      </c>
      <c r="G278" s="244" cm="1">
        <f t="array" ref="G278">_xlfn.SWITCH(TRUE,
  $C278&lt;$C$6,  $AC$4*$C278+$AD$4,
  $C278&lt;$C$7,  $AC$5*$C278+$AD$5,
  $C278&lt;$C$8,  $AC$6*$C278+$AD$6,
  $C278&lt;$C$9, $AC$7*$C278+$AD$7,
  $C278&lt;$C$10, $AC$8*$C278+$AD$8,
  $C278&lt;$C$11, $AC$9*$C278+$AD$9,
  $C278&lt;$C$12,  $AC$10*$C278+$AD$10,
  $C278&lt;$C$13, $AC$11*$C278+$AD$11,
  $AC$12*$C278+$AD$12
)</f>
        <v>2.83</v>
      </c>
      <c r="H278" cm="1">
        <f t="array" ref="H278">_xlfn.LET(
  _xlpm.y,$C278,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8" cm="1">
        <f t="array" ref="I278">_xlfn.LET(
  _xlpm.y,$C278,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0.22018348623853201</v>
      </c>
      <c r="J278" cm="1">
        <f t="array" ref="J278">_xlfn.LET(
  _xlpm.y,$C278,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0.77981651376146799</v>
      </c>
      <c r="K278" cm="1">
        <f t="array" ref="K278">_xlfn.LET(
  _xlpm.y,$C278,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8" cm="1">
        <f t="array" ref="L278">_xlfn.LET(
  _xlpm.y,$C278,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8" cm="1">
        <f t="array" ref="M278">_xlfn.SWITCH(TRUE,
  $C278&lt;$C$6,  $D$5,
  $C278&lt;$C$7,  $D$6,
  $C278&lt;$C$8,  $D$7,
  $C278&lt;$C$9,  $D$8,
  $C278&lt;$C$10,  $D$9,
  $C278&lt;$C$11,  $D$10,
  $C278&lt;$C$12,  $D$11,
  $C278&lt;$C$13,  $D$12,
  $C278&lt;$C$14,  $D$13,
  $C278&lt;100,  $D$14,
)</f>
        <v>6</v>
      </c>
      <c r="N278">
        <f>主翼翼型1!$R$18*'主翼(平面形結果)'!H278+主翼翼型2!$R$18*'主翼(平面形結果)'!I278+主翼翼型3!$R$18*'主翼(平面形結果)'!J278+主翼翼型4!$R$18*'主翼(平面形結果)'!K278+主翼翼型5!$R$18*'主翼(平面形結果)'!L278</f>
        <v>13.258601014518653</v>
      </c>
      <c r="O278">
        <f t="shared" si="1"/>
        <v>77.696618330493507</v>
      </c>
    </row>
    <row r="279" spans="2:15">
      <c r="B279">
        <f>'主翼(型紙出力)'!B122</f>
        <v>71</v>
      </c>
      <c r="C279">
        <f>INT(('主翼(型紙出力)'!C122)*1000)/1000</f>
        <v>10.824999999999999</v>
      </c>
      <c r="D279">
        <f>'主翼(型紙出力)'!E122</f>
        <v>0.15</v>
      </c>
      <c r="E279">
        <f>'主翼(重量推算)'!CE119</f>
        <v>0.89804679168806456</v>
      </c>
      <c r="F279" s="244" cm="1">
        <f t="array" ref="F279">_xlfn.SWITCH(TRUE,
  $C279&lt;$C$6,  $AA$4*$C279+$AB$4,
  $C279&lt;$C$7,  $AA$5*$C279+$AB$5,
  $C279&lt;$C$8,  $AA$6*$C279+$AB$6,
  $C279&lt;$C$9, $AA$7*$C279+$AB$7,
  $C279&lt;$C$10, $AA$8*$C279+$AB$8,
  $C279&lt;$C$11, $AA$9*$C279+$AB$9,
  $C279&lt;$C$12,  $AA$10*$C279+$AB$10,
  $C279&lt;$C$13, $AA$11*$C279+$AB$11,
  $AA$12*$C279+$AB$12
)</f>
        <v>0.5832568807339451</v>
      </c>
      <c r="G279" s="244" cm="1">
        <f t="array" ref="G279">_xlfn.SWITCH(TRUE,
  $C279&lt;$C$6,  $AC$4*$C279+$AD$4,
  $C279&lt;$C$7,  $AC$5*$C279+$AD$5,
  $C279&lt;$C$8,  $AC$6*$C279+$AD$6,
  $C279&lt;$C$9, $AC$7*$C279+$AD$7,
  $C279&lt;$C$10, $AC$8*$C279+$AD$8,
  $C279&lt;$C$11, $AC$9*$C279+$AD$9,
  $C279&lt;$C$12,  $AC$10*$C279+$AD$10,
  $C279&lt;$C$13, $AC$11*$C279+$AD$11,
  $AC$12*$C279+$AD$12
)</f>
        <v>2.7700000000000005</v>
      </c>
      <c r="H279" cm="1">
        <f t="array" ref="H279">_xlfn.LET(
  _xlpm.y,$C279,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9" cm="1">
        <f t="array" ref="I279">_xlfn.LET(
  _xlpm.y,$C279,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0.16513761467889954</v>
      </c>
      <c r="J279" cm="1">
        <f t="array" ref="J279">_xlfn.LET(
  _xlpm.y,$C279,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0.83486238532110046</v>
      </c>
      <c r="K279" cm="1">
        <f t="array" ref="K279">_xlfn.LET(
  _xlpm.y,$C279,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9" cm="1">
        <f t="array" ref="L279">_xlfn.LET(
  _xlpm.y,$C279,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9" cm="1">
        <f t="array" ref="M279">_xlfn.SWITCH(TRUE,
  $C279&lt;$C$6,  $D$5,
  $C279&lt;$C$7,  $D$6,
  $C279&lt;$C$8,  $D$7,
  $C279&lt;$C$9,  $D$8,
  $C279&lt;$C$10,  $D$9,
  $C279&lt;$C$11,  $D$10,
  $C279&lt;$C$12,  $D$11,
  $C279&lt;$C$13,  $D$12,
  $C279&lt;$C$14,  $D$13,
  $C279&lt;100,  $D$14,
)</f>
        <v>6</v>
      </c>
      <c r="N279">
        <f>主翼翼型1!$R$18*'主翼(平面形結果)'!H279+主翼翼型2!$R$18*'主翼(平面形結果)'!I279+主翼翼型3!$R$18*'主翼(平面形結果)'!J279+主翼翼型4!$R$18*'主翼(平面形結果)'!K279+主翼翼型5!$R$18*'主翼(平面形結果)'!L279</f>
        <v>13.206954095819642</v>
      </c>
      <c r="O279">
        <f t="shared" si="1"/>
        <v>77.030468499241636</v>
      </c>
    </row>
    <row r="280" spans="2:15">
      <c r="B280">
        <f>'主翼(型紙出力)'!B123</f>
        <v>72</v>
      </c>
      <c r="C280">
        <f>INT(('主翼(型紙出力)'!C123)*1000)/1000</f>
        <v>10.975</v>
      </c>
      <c r="D280">
        <f>'主翼(型紙出力)'!E123</f>
        <v>0.15</v>
      </c>
      <c r="E280">
        <f>'主翼(重量推算)'!CE120</f>
        <v>0.86365168533265346</v>
      </c>
      <c r="F280" s="244" cm="1">
        <f t="array" ref="F280">_xlfn.SWITCH(TRUE,
  $C280&lt;$C$6,  $AA$4*$C280+$AB$4,
  $C280&lt;$C$7,  $AA$5*$C280+$AB$5,
  $C280&lt;$C$8,  $AA$6*$C280+$AB$6,
  $C280&lt;$C$9, $AA$7*$C280+$AB$7,
  $C280&lt;$C$10, $AA$8*$C280+$AB$8,
  $C280&lt;$C$11, $AA$9*$C280+$AB$9,
  $C280&lt;$C$12,  $AA$10*$C280+$AB$10,
  $C280&lt;$C$13, $AA$11*$C280+$AB$11,
  $AA$12*$C280+$AB$12
)</f>
        <v>0.58050458715596354</v>
      </c>
      <c r="G280" s="244" cm="1">
        <f t="array" ref="G280">_xlfn.SWITCH(TRUE,
  $C280&lt;$C$6,  $AC$4*$C280+$AD$4,
  $C280&lt;$C$7,  $AC$5*$C280+$AD$5,
  $C280&lt;$C$8,  $AC$6*$C280+$AD$6,
  $C280&lt;$C$9, $AC$7*$C280+$AD$7,
  $C280&lt;$C$10, $AC$8*$C280+$AD$8,
  $C280&lt;$C$11, $AC$9*$C280+$AD$9,
  $C280&lt;$C$12,  $AC$10*$C280+$AD$10,
  $C280&lt;$C$13, $AC$11*$C280+$AD$11,
  $AC$12*$C280+$AD$12
)</f>
        <v>2.71</v>
      </c>
      <c r="H280" cm="1">
        <f t="array" ref="H280">_xlfn.LET(
  _xlpm.y,$C280,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0" cm="1">
        <f t="array" ref="I280">_xlfn.LET(
  _xlpm.y,$C280,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0.11009174311926628</v>
      </c>
      <c r="J280" cm="1">
        <f t="array" ref="J280">_xlfn.LET(
  _xlpm.y,$C280,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0.88990825688073372</v>
      </c>
      <c r="K280" cm="1">
        <f t="array" ref="K280">_xlfn.LET(
  _xlpm.y,$C280,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0" cm="1">
        <f t="array" ref="L280">_xlfn.LET(
  _xlpm.y,$C280,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0" cm="1">
        <f t="array" ref="M280">_xlfn.SWITCH(TRUE,
  $C280&lt;$C$6,  $D$5,
  $C280&lt;$C$7,  $D$6,
  $C280&lt;$C$8,  $D$7,
  $C280&lt;$C$9,  $D$8,
  $C280&lt;$C$10,  $D$9,
  $C280&lt;$C$11,  $D$10,
  $C280&lt;$C$12,  $D$11,
  $C280&lt;$C$13,  $D$12,
  $C280&lt;$C$14,  $D$13,
  $C280&lt;100,  $D$14,
)</f>
        <v>6</v>
      </c>
      <c r="N280">
        <f>主翼翼型1!$R$18*'主翼(平面形結果)'!H280+主翼翼型2!$R$18*'主翼(平面形結果)'!I280+主翼翼型3!$R$18*'主翼(平面形結果)'!J280+主翼翼型4!$R$18*'主翼(平面形結果)'!K280+主翼翼型5!$R$18*'主翼(平面形結果)'!L280</f>
        <v>13.15530717712063</v>
      </c>
      <c r="O280">
        <f t="shared" si="1"/>
        <v>76.36716161764295</v>
      </c>
    </row>
    <row r="281" spans="2:15">
      <c r="B281">
        <f>'主翼(型紙出力)'!B124</f>
        <v>73</v>
      </c>
      <c r="C281">
        <f>INT(('主翼(型紙出力)'!C124)*1000)/1000</f>
        <v>11.125</v>
      </c>
      <c r="D281">
        <f>'主翼(型紙出力)'!E124</f>
        <v>0.15</v>
      </c>
      <c r="E281">
        <f>'主翼(重量推算)'!CE121</f>
        <v>0.86557871542546894</v>
      </c>
      <c r="F281" s="244" cm="1">
        <f t="array" ref="F281">_xlfn.SWITCH(TRUE,
  $C281&lt;$C$6,  $AA$4*$C281+$AB$4,
  $C281&lt;$C$7,  $AA$5*$C281+$AB$5,
  $C281&lt;$C$8,  $AA$6*$C281+$AB$6,
  $C281&lt;$C$9, $AA$7*$C281+$AB$7,
  $C281&lt;$C$10, $AA$8*$C281+$AB$8,
  $C281&lt;$C$11, $AA$9*$C281+$AB$9,
  $C281&lt;$C$12,  $AA$10*$C281+$AB$10,
  $C281&lt;$C$13, $AA$11*$C281+$AB$11,
  $AA$12*$C281+$AB$12
)</f>
        <v>0.57775229357798186</v>
      </c>
      <c r="G281" s="244" cm="1">
        <f t="array" ref="G281">_xlfn.SWITCH(TRUE,
  $C281&lt;$C$6,  $AC$4*$C281+$AD$4,
  $C281&lt;$C$7,  $AC$5*$C281+$AD$5,
  $C281&lt;$C$8,  $AC$6*$C281+$AD$6,
  $C281&lt;$C$9, $AC$7*$C281+$AD$7,
  $C281&lt;$C$10, $AC$8*$C281+$AD$8,
  $C281&lt;$C$11, $AC$9*$C281+$AD$9,
  $C281&lt;$C$12,  $AC$10*$C281+$AD$10,
  $C281&lt;$C$13, $AC$11*$C281+$AD$11,
  $AC$12*$C281+$AD$12
)</f>
        <v>2.6500000000000004</v>
      </c>
      <c r="H281" cm="1">
        <f t="array" ref="H281">_xlfn.LET(
  _xlpm.y,$C281,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1" cm="1">
        <f t="array" ref="I281">_xlfn.LET(
  _xlpm.y,$C281,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5.5045871559633142E-2</v>
      </c>
      <c r="J281" cm="1">
        <f t="array" ref="J281">_xlfn.LET(
  _xlpm.y,$C281,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0.94495412844036686</v>
      </c>
      <c r="K281" cm="1">
        <f t="array" ref="K281">_xlfn.LET(
  _xlpm.y,$C281,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1" cm="1">
        <f t="array" ref="L281">_xlfn.LET(
  _xlpm.y,$C281,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1" cm="1">
        <f t="array" ref="M281">_xlfn.SWITCH(TRUE,
  $C281&lt;$C$6,  $D$5,
  $C281&lt;$C$7,  $D$6,
  $C281&lt;$C$8,  $D$7,
  $C281&lt;$C$9,  $D$8,
  $C281&lt;$C$10,  $D$9,
  $C281&lt;$C$11,  $D$10,
  $C281&lt;$C$12,  $D$11,
  $C281&lt;$C$13,  $D$12,
  $C281&lt;$C$14,  $D$13,
  $C281&lt;100,  $D$14,
)</f>
        <v>6</v>
      </c>
      <c r="N281">
        <f>主翼翼型1!$R$18*'主翼(平面形結果)'!H281+主翼翼型2!$R$18*'主翼(平面形結果)'!I281+主翼翼型3!$R$18*'主翼(平面形結果)'!J281+主翼翼型4!$R$18*'主翼(平面形結果)'!K281+主翼翼型5!$R$18*'主翼(平面形結果)'!L281</f>
        <v>13.103660258421616</v>
      </c>
      <c r="O281">
        <f t="shared" si="1"/>
        <v>75.706697685697392</v>
      </c>
    </row>
    <row r="282" spans="2:15">
      <c r="B282">
        <f>'主翼(型紙出力)'!B125</f>
        <v>74</v>
      </c>
      <c r="C282">
        <f>INT(('主翼(型紙出力)'!C125)*1000)/1000</f>
        <v>11.275</v>
      </c>
      <c r="D282">
        <f>'主翼(型紙出力)'!E125</f>
        <v>0.15</v>
      </c>
      <c r="E282">
        <f>'主翼(重量推算)'!CE122</f>
        <v>0.83168264128313785</v>
      </c>
      <c r="F282" s="244" cm="1">
        <f t="array" ref="F282">_xlfn.SWITCH(TRUE,
  $C282&lt;$C$6,  $AA$4*$C282+$AB$4,
  $C282&lt;$C$7,  $AA$5*$C282+$AB$5,
  $C282&lt;$C$8,  $AA$6*$C282+$AB$6,
  $C282&lt;$C$9, $AA$7*$C282+$AB$7,
  $C282&lt;$C$10, $AA$8*$C282+$AB$8,
  $C282&lt;$C$11, $AA$9*$C282+$AB$9,
  $C282&lt;$C$12,  $AA$10*$C282+$AB$10,
  $C282&lt;$C$13, $AA$11*$C282+$AB$11,
  $AA$12*$C282+$AB$12
)</f>
        <v>0.57500000000000018</v>
      </c>
      <c r="G282" s="244" cm="1">
        <f t="array" ref="G282">_xlfn.SWITCH(TRUE,
  $C282&lt;$C$6,  $AC$4*$C282+$AD$4,
  $C282&lt;$C$7,  $AC$5*$C282+$AD$5,
  $C282&lt;$C$8,  $AC$6*$C282+$AD$6,
  $C282&lt;$C$9, $AC$7*$C282+$AD$7,
  $C282&lt;$C$10, $AC$8*$C282+$AD$8,
  $C282&lt;$C$11, $AC$9*$C282+$AD$9,
  $C282&lt;$C$12,  $AC$10*$C282+$AD$10,
  $C282&lt;$C$13, $AC$11*$C282+$AD$11,
  $AC$12*$C282+$AD$12
)</f>
        <v>2.59</v>
      </c>
      <c r="H282" cm="1">
        <f t="array" ref="H282">_xlfn.LET(
  _xlpm.y,$C282,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2" cm="1">
        <f t="array" ref="I282">_xlfn.LET(
  _xlpm.y,$C282,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2" cm="1">
        <f t="array" ref="J282">_xlfn.LET(
  _xlpm.y,$C282,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2" cm="1">
        <f t="array" ref="K282">_xlfn.LET(
  _xlpm.y,$C282,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2" cm="1">
        <f t="array" ref="L282">_xlfn.LET(
  _xlpm.y,$C282,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2" cm="1">
        <f t="array" ref="M282">_xlfn.SWITCH(TRUE,
  $C282&lt;$C$6,  $D$5,
  $C282&lt;$C$7,  $D$6,
  $C282&lt;$C$8,  $D$7,
  $C282&lt;$C$9,  $D$8,
  $C282&lt;$C$10,  $D$9,
  $C282&lt;$C$11,  $D$10,
  $C282&lt;$C$12,  $D$11,
  $C282&lt;$C$13,  $D$12,
  $C282&lt;$C$14,  $D$13,
  $C282&lt;100,  $D$14,
)</f>
        <v>6</v>
      </c>
      <c r="N282">
        <f>主翼翼型1!$R$18*'主翼(平面形結果)'!H282+主翼翼型2!$R$18*'主翼(平面形結果)'!I282+主翼翼型3!$R$18*'主翼(平面形結果)'!J282+主翼翼型4!$R$18*'主翼(平面形結果)'!K282+主翼翼型5!$R$18*'主翼(平面形結果)'!L282</f>
        <v>13.052013339722604</v>
      </c>
      <c r="O282">
        <f t="shared" si="1"/>
        <v>75.049076703404992</v>
      </c>
    </row>
    <row r="283" spans="2:15">
      <c r="B283">
        <f>'主翼(型紙出力)'!B126</f>
        <v>75</v>
      </c>
      <c r="C283">
        <f>INT(('主翼(型紙出力)'!C126)*1000)/1000</f>
        <v>11.425000000000001</v>
      </c>
      <c r="D283">
        <f>'主翼(型紙出力)'!E126</f>
        <v>0.15</v>
      </c>
      <c r="E283">
        <f>'主翼(重量推算)'!CE123</f>
        <v>0.82058602472326669</v>
      </c>
      <c r="F283" s="244" cm="1">
        <f t="array" ref="F283">_xlfn.SWITCH(TRUE,
  $C283&lt;$C$6,  $AA$4*$C283+$AB$4,
  $C283&lt;$C$7,  $AA$5*$C283+$AB$5,
  $C283&lt;$C$8,  $AA$6*$C283+$AB$6,
  $C283&lt;$C$9, $AA$7*$C283+$AB$7,
  $C283&lt;$C$10, $AA$8*$C283+$AB$8,
  $C283&lt;$C$11, $AA$9*$C283+$AB$9,
  $C283&lt;$C$12,  $AA$10*$C283+$AB$10,
  $C283&lt;$C$13, $AA$11*$C283+$AB$11,
  $AA$12*$C283+$AB$12
)</f>
        <v>0.55083783783783802</v>
      </c>
      <c r="G283" s="244" cm="1">
        <f t="array" ref="G283">_xlfn.SWITCH(TRUE,
  $C283&lt;$C$6,  $AC$4*$C283+$AD$4,
  $C283&lt;$C$7,  $AC$5*$C283+$AD$5,
  $C283&lt;$C$8,  $AC$6*$C283+$AD$6,
  $C283&lt;$C$9, $AC$7*$C283+$AD$7,
  $C283&lt;$C$10, $AC$8*$C283+$AD$8,
  $C283&lt;$C$11, $AC$9*$C283+$AD$9,
  $C283&lt;$C$12,  $AC$10*$C283+$AD$10,
  $C283&lt;$C$13, $AC$11*$C283+$AD$11,
  $AC$12*$C283+$AD$12
)</f>
        <v>2.4943243243243236</v>
      </c>
      <c r="H283" cm="1">
        <f t="array" ref="H283">_xlfn.LET(
  _xlpm.y,$C283,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3" cm="1">
        <f t="array" ref="I283">_xlfn.LET(
  _xlpm.y,$C283,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3" cm="1">
        <f t="array" ref="J283">_xlfn.LET(
  _xlpm.y,$C283,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3" cm="1">
        <f t="array" ref="K283">_xlfn.LET(
  _xlpm.y,$C283,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3" cm="1">
        <f t="array" ref="L283">_xlfn.LET(
  _xlpm.y,$C283,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3" cm="1">
        <f t="array" ref="M283">_xlfn.SWITCH(TRUE,
  $C283&lt;$C$6,  $D$5,
  $C283&lt;$C$7,  $D$6,
  $C283&lt;$C$8,  $D$7,
  $C283&lt;$C$9,  $D$8,
  $C283&lt;$C$10,  $D$9,
  $C283&lt;$C$11,  $D$10,
  $C283&lt;$C$12,  $D$11,
  $C283&lt;$C$13,  $D$12,
  $C283&lt;$C$14,  $D$13,
  $C283&lt;100,  $D$14,
)</f>
        <v>6</v>
      </c>
      <c r="N283">
        <f>主翼翼型1!$R$18*'主翼(平面形結果)'!H283+主翼翼型2!$R$18*'主翼(平面形結果)'!I283+主翼翼型3!$R$18*'主翼(平面形結果)'!J283+主翼翼型4!$R$18*'主翼(平面形結果)'!K283+主翼翼型5!$R$18*'主翼(平面形結果)'!L283</f>
        <v>13.052013339722604</v>
      </c>
      <c r="O283">
        <f t="shared" si="1"/>
        <v>71.895428074834172</v>
      </c>
    </row>
    <row r="284" spans="2:15">
      <c r="B284">
        <f>'主翼(型紙出力)'!B127</f>
        <v>76</v>
      </c>
      <c r="C284">
        <f>INT(('主翼(型紙出力)'!C127)*1000)/1000</f>
        <v>11.574999999999999</v>
      </c>
      <c r="D284">
        <f>'主翼(型紙出力)'!E127</f>
        <v>0.15</v>
      </c>
      <c r="E284">
        <f>'主翼(重量推算)'!CE124</f>
        <v>0.77746148573094087</v>
      </c>
      <c r="F284" s="244" cm="1">
        <f t="array" ref="F284">_xlfn.SWITCH(TRUE,
  $C284&lt;$C$6,  $AA$4*$C284+$AB$4,
  $C284&lt;$C$7,  $AA$5*$C284+$AB$5,
  $C284&lt;$C$8,  $AA$6*$C284+$AB$6,
  $C284&lt;$C$9, $AA$7*$C284+$AB$7,
  $C284&lt;$C$10, $AA$8*$C284+$AB$8,
  $C284&lt;$C$11, $AA$9*$C284+$AB$9,
  $C284&lt;$C$12,  $AA$10*$C284+$AB$10,
  $C284&lt;$C$13, $AA$11*$C284+$AB$11,
  $AA$12*$C284+$AB$12
)</f>
        <v>0.52667567567567608</v>
      </c>
      <c r="G284" s="244" cm="1">
        <f t="array" ref="G284">_xlfn.SWITCH(TRUE,
  $C284&lt;$C$6,  $AC$4*$C284+$AD$4,
  $C284&lt;$C$7,  $AC$5*$C284+$AD$5,
  $C284&lt;$C$8,  $AC$6*$C284+$AD$6,
  $C284&lt;$C$9, $AC$7*$C284+$AD$7,
  $C284&lt;$C$10, $AC$8*$C284+$AD$8,
  $C284&lt;$C$11, $AC$9*$C284+$AD$9,
  $C284&lt;$C$12,  $AC$10*$C284+$AD$10,
  $C284&lt;$C$13, $AC$11*$C284+$AD$11,
  $AC$12*$C284+$AD$12
)</f>
        <v>2.3986486486486491</v>
      </c>
      <c r="H284" cm="1">
        <f t="array" ref="H284">_xlfn.LET(
  _xlpm.y,$C284,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4" cm="1">
        <f t="array" ref="I284">_xlfn.LET(
  _xlpm.y,$C284,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4" cm="1">
        <f t="array" ref="J284">_xlfn.LET(
  _xlpm.y,$C284,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4" cm="1">
        <f t="array" ref="K284">_xlfn.LET(
  _xlpm.y,$C284,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4" cm="1">
        <f t="array" ref="L284">_xlfn.LET(
  _xlpm.y,$C284,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4" cm="1">
        <f t="array" ref="M284">_xlfn.SWITCH(TRUE,
  $C284&lt;$C$6,  $D$5,
  $C284&lt;$C$7,  $D$6,
  $C284&lt;$C$8,  $D$7,
  $C284&lt;$C$9,  $D$8,
  $C284&lt;$C$10,  $D$9,
  $C284&lt;$C$11,  $D$10,
  $C284&lt;$C$12,  $D$11,
  $C284&lt;$C$13,  $D$12,
  $C284&lt;$C$14,  $D$13,
  $C284&lt;100,  $D$14,
)</f>
        <v>6</v>
      </c>
      <c r="N284">
        <f>主翼翼型1!$R$18*'主翼(平面形結果)'!H284+主翼翼型2!$R$18*'主翼(平面形結果)'!I284+主翼翼型3!$R$18*'主翼(平面形結果)'!J284+主翼翼型4!$R$18*'主翼(平面形結果)'!K284+主翼翼型5!$R$18*'主翼(平面形結果)'!L284</f>
        <v>13.052013339722604</v>
      </c>
      <c r="O284">
        <f t="shared" si="1"/>
        <v>68.741779446263408</v>
      </c>
    </row>
    <row r="285" spans="2:15">
      <c r="B285">
        <f>'主翼(型紙出力)'!B128</f>
        <v>77</v>
      </c>
      <c r="C285">
        <f>INT(('主翼(型紙出力)'!C128)*1000)/1000</f>
        <v>11.725</v>
      </c>
      <c r="D285">
        <f>'主翼(型紙出力)'!E128</f>
        <v>0.15</v>
      </c>
      <c r="E285">
        <f>'主翼(重量推算)'!CE125</f>
        <v>0.76420554423087861</v>
      </c>
      <c r="F285" s="244" cm="1">
        <f t="array" ref="F285">_xlfn.SWITCH(TRUE,
  $C285&lt;$C$6,  $AA$4*$C285+$AB$4,
  $C285&lt;$C$7,  $AA$5*$C285+$AB$5,
  $C285&lt;$C$8,  $AA$6*$C285+$AB$6,
  $C285&lt;$C$9, $AA$7*$C285+$AB$7,
  $C285&lt;$C$10, $AA$8*$C285+$AB$8,
  $C285&lt;$C$11, $AA$9*$C285+$AB$9,
  $C285&lt;$C$12,  $AA$10*$C285+$AB$10,
  $C285&lt;$C$13, $AA$11*$C285+$AB$11,
  $AA$12*$C285+$AB$12
)</f>
        <v>0.5025135135135137</v>
      </c>
      <c r="G285" s="244" cm="1">
        <f t="array" ref="G285">_xlfn.SWITCH(TRUE,
  $C285&lt;$C$6,  $AC$4*$C285+$AD$4,
  $C285&lt;$C$7,  $AC$5*$C285+$AD$5,
  $C285&lt;$C$8,  $AC$6*$C285+$AD$6,
  $C285&lt;$C$9, $AC$7*$C285+$AD$7,
  $C285&lt;$C$10, $AC$8*$C285+$AD$8,
  $C285&lt;$C$11, $AC$9*$C285+$AD$9,
  $C285&lt;$C$12,  $AC$10*$C285+$AD$10,
  $C285&lt;$C$13, $AC$11*$C285+$AD$11,
  $AC$12*$C285+$AD$12
)</f>
        <v>2.3029729729729729</v>
      </c>
      <c r="H285" cm="1">
        <f t="array" ref="H285">_xlfn.LET(
  _xlpm.y,$C285,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5" cm="1">
        <f t="array" ref="I285">_xlfn.LET(
  _xlpm.y,$C285,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5" cm="1">
        <f t="array" ref="J285">_xlfn.LET(
  _xlpm.y,$C285,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5" cm="1">
        <f t="array" ref="K285">_xlfn.LET(
  _xlpm.y,$C285,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5" cm="1">
        <f t="array" ref="L285">_xlfn.LET(
  _xlpm.y,$C285,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5" cm="1">
        <f t="array" ref="M285">_xlfn.SWITCH(TRUE,
  $C285&lt;$C$6,  $D$5,
  $C285&lt;$C$7,  $D$6,
  $C285&lt;$C$8,  $D$7,
  $C285&lt;$C$9,  $D$8,
  $C285&lt;$C$10,  $D$9,
  $C285&lt;$C$11,  $D$10,
  $C285&lt;$C$12,  $D$11,
  $C285&lt;$C$13,  $D$12,
  $C285&lt;$C$14,  $D$13,
  $C285&lt;100,  $D$14,
)</f>
        <v>6</v>
      </c>
      <c r="N285">
        <f>主翼翼型1!$R$18*'主翼(平面形結果)'!H285+主翼翼型2!$R$18*'主翼(平面形結果)'!I285+主翼翼型3!$R$18*'主翼(平面形結果)'!J285+主翼翼型4!$R$18*'主翼(平面形結果)'!K285+主翼翼型5!$R$18*'主翼(平面形結果)'!L285</f>
        <v>13.052013339722604</v>
      </c>
      <c r="O285">
        <f t="shared" si="1"/>
        <v>65.588130817692559</v>
      </c>
    </row>
    <row r="286" spans="2:15">
      <c r="B286">
        <f>'主翼(型紙出力)'!B129</f>
        <v>78</v>
      </c>
      <c r="C286">
        <f>INT(('主翼(型紙出力)'!C129)*1000)/1000</f>
        <v>11.875</v>
      </c>
      <c r="D286">
        <f>'主翼(型紙出力)'!E129</f>
        <v>0.15</v>
      </c>
      <c r="E286">
        <f>'主翼(重量推算)'!CE126</f>
        <v>0.72422638664292838</v>
      </c>
      <c r="F286" s="244" cm="1">
        <f t="array" ref="F286">_xlfn.SWITCH(TRUE,
  $C286&lt;$C$6,  $AA$4*$C286+$AB$4,
  $C286&lt;$C$7,  $AA$5*$C286+$AB$5,
  $C286&lt;$C$8,  $AA$6*$C286+$AB$6,
  $C286&lt;$C$9, $AA$7*$C286+$AB$7,
  $C286&lt;$C$10, $AA$8*$C286+$AB$8,
  $C286&lt;$C$11, $AA$9*$C286+$AB$9,
  $C286&lt;$C$12,  $AA$10*$C286+$AB$10,
  $C286&lt;$C$13, $AA$11*$C286+$AB$11,
  $AA$12*$C286+$AB$12
)</f>
        <v>0.47835135135135154</v>
      </c>
      <c r="G286" s="244" cm="1">
        <f t="array" ref="G286">_xlfn.SWITCH(TRUE,
  $C286&lt;$C$6,  $AC$4*$C286+$AD$4,
  $C286&lt;$C$7,  $AC$5*$C286+$AD$5,
  $C286&lt;$C$8,  $AC$6*$C286+$AD$6,
  $C286&lt;$C$9, $AC$7*$C286+$AD$7,
  $C286&lt;$C$10, $AC$8*$C286+$AD$8,
  $C286&lt;$C$11, $AC$9*$C286+$AD$9,
  $C286&lt;$C$12,  $AC$10*$C286+$AD$10,
  $C286&lt;$C$13, $AC$11*$C286+$AD$11,
  $AC$12*$C286+$AD$12
)</f>
        <v>2.2072972972972966</v>
      </c>
      <c r="H286" cm="1">
        <f t="array" ref="H286">_xlfn.LET(
  _xlpm.y,$C286,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6" cm="1">
        <f t="array" ref="I286">_xlfn.LET(
  _xlpm.y,$C286,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6" cm="1">
        <f t="array" ref="J286">_xlfn.LET(
  _xlpm.y,$C286,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6" cm="1">
        <f t="array" ref="K286">_xlfn.LET(
  _xlpm.y,$C286,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6" cm="1">
        <f t="array" ref="L286">_xlfn.LET(
  _xlpm.y,$C286,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6" cm="1">
        <f t="array" ref="M286">_xlfn.SWITCH(TRUE,
  $C286&lt;$C$6,  $D$5,
  $C286&lt;$C$7,  $D$6,
  $C286&lt;$C$8,  $D$7,
  $C286&lt;$C$9,  $D$8,
  $C286&lt;$C$10,  $D$9,
  $C286&lt;$C$11,  $D$10,
  $C286&lt;$C$12,  $D$11,
  $C286&lt;$C$13,  $D$12,
  $C286&lt;$C$14,  $D$13,
  $C286&lt;100,  $D$14,
)</f>
        <v>6</v>
      </c>
      <c r="N286">
        <f>主翼翼型1!$R$18*'主翼(平面形結果)'!H286+主翼翼型2!$R$18*'主翼(平面形結果)'!I286+主翼翼型3!$R$18*'主翼(平面形結果)'!J286+主翼翼型4!$R$18*'主翼(平面形結果)'!K286+主翼翼型5!$R$18*'主翼(平面形結果)'!L286</f>
        <v>13.052013339722604</v>
      </c>
      <c r="O286">
        <f t="shared" si="1"/>
        <v>62.434482189121745</v>
      </c>
    </row>
    <row r="287" spans="2:15">
      <c r="B287">
        <f>'主翼(型紙出力)'!B130</f>
        <v>79</v>
      </c>
      <c r="C287">
        <f>INT(('主翼(型紙出力)'!C130)*1000)/1000</f>
        <v>12.025</v>
      </c>
      <c r="D287">
        <f>'主翼(型紙出力)'!E130</f>
        <v>0.17499999999999999</v>
      </c>
      <c r="E287">
        <f>'主翼(重量推算)'!CE127</f>
        <v>0.81796886182761008</v>
      </c>
      <c r="F287" s="244" cm="1">
        <f t="array" ref="F287">_xlfn.SWITCH(TRUE,
  $C287&lt;$C$6,  $AA$4*$C287+$AB$4,
  $C287&lt;$C$7,  $AA$5*$C287+$AB$5,
  $C287&lt;$C$8,  $AA$6*$C287+$AB$6,
  $C287&lt;$C$9, $AA$7*$C287+$AB$7,
  $C287&lt;$C$10, $AA$8*$C287+$AB$8,
  $C287&lt;$C$11, $AA$9*$C287+$AB$9,
  $C287&lt;$C$12,  $AA$10*$C287+$AB$10,
  $C287&lt;$C$13, $AA$11*$C287+$AB$11,
  $AA$12*$C287+$AB$12
)</f>
        <v>0.45418918918918916</v>
      </c>
      <c r="G287" s="244" cm="1">
        <f t="array" ref="G287">_xlfn.SWITCH(TRUE,
  $C287&lt;$C$6,  $AC$4*$C287+$AD$4,
  $C287&lt;$C$7,  $AC$5*$C287+$AD$5,
  $C287&lt;$C$8,  $AC$6*$C287+$AD$6,
  $C287&lt;$C$9, $AC$7*$C287+$AD$7,
  $C287&lt;$C$10, $AC$8*$C287+$AD$8,
  $C287&lt;$C$11, $AC$9*$C287+$AD$9,
  $C287&lt;$C$12,  $AC$10*$C287+$AD$10,
  $C287&lt;$C$13, $AC$11*$C287+$AD$11,
  $AC$12*$C287+$AD$12
)</f>
        <v>2.1116216216216213</v>
      </c>
      <c r="H287" cm="1">
        <f t="array" ref="H287">_xlfn.LET(
  _xlpm.y,$C287,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7" cm="1">
        <f t="array" ref="I287">_xlfn.LET(
  _xlpm.y,$C287,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7" cm="1">
        <f t="array" ref="J287">_xlfn.LET(
  _xlpm.y,$C287,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7" cm="1">
        <f t="array" ref="K287">_xlfn.LET(
  _xlpm.y,$C287,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7" cm="1">
        <f t="array" ref="L287">_xlfn.LET(
  _xlpm.y,$C287,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7" cm="1">
        <f t="array" ref="M287">_xlfn.SWITCH(TRUE,
  $C287&lt;$C$6,  $D$5,
  $C287&lt;$C$7,  $D$6,
  $C287&lt;$C$8,  $D$7,
  $C287&lt;$C$9,  $D$8,
  $C287&lt;$C$10,  $D$9,
  $C287&lt;$C$11,  $D$10,
  $C287&lt;$C$12,  $D$11,
  $C287&lt;$C$13,  $D$12,
  $C287&lt;$C$14,  $D$13,
  $C287&lt;100,  $D$14,
)</f>
        <v>6</v>
      </c>
      <c r="N287">
        <f>主翼翼型1!$R$18*'主翼(平面形結果)'!H287+主翼翼型2!$R$18*'主翼(平面形結果)'!I287+主翼翼型3!$R$18*'主翼(平面形結果)'!J287+主翼翼型4!$R$18*'主翼(平面形結果)'!K287+主翼翼型5!$R$18*'主翼(平面形結果)'!L287</f>
        <v>13.052013339722604</v>
      </c>
      <c r="O287">
        <f t="shared" si="1"/>
        <v>59.280833560550903</v>
      </c>
    </row>
    <row r="288" spans="2:15">
      <c r="B288">
        <f>'主翼(型紙出力)'!B131</f>
        <v>80</v>
      </c>
      <c r="C288">
        <f>INT(('主翼(型紙出力)'!C131)*1000)/1000</f>
        <v>12.2</v>
      </c>
      <c r="D288">
        <f>'主翼(型紙出力)'!E131</f>
        <v>0.15</v>
      </c>
      <c r="E288">
        <f>'主翼(重量推算)'!CE128</f>
        <v>0.84084431822036454</v>
      </c>
      <c r="F288" s="244" cm="1">
        <f t="array" ref="F288">_xlfn.SWITCH(TRUE,
  $C288&lt;$C$6,  $AA$4*$C288+$AB$4,
  $C288&lt;$C$7,  $AA$5*$C288+$AB$5,
  $C288&lt;$C$8,  $AA$6*$C288+$AB$6,
  $C288&lt;$C$9, $AA$7*$C288+$AB$7,
  $C288&lt;$C$10, $AA$8*$C288+$AB$8,
  $C288&lt;$C$11, $AA$9*$C288+$AB$9,
  $C288&lt;$C$12,  $AA$10*$C288+$AB$10,
  $C288&lt;$C$13, $AA$11*$C288+$AB$11,
  $AA$12*$C288+$AB$12
)</f>
        <v>0.42599999999999971</v>
      </c>
      <c r="G288" s="244" cm="1">
        <f t="array" ref="G288">_xlfn.SWITCH(TRUE,
  $C288&lt;$C$6,  $AC$4*$C288+$AD$4,
  $C288&lt;$C$7,  $AC$5*$C288+$AD$5,
  $C288&lt;$C$8,  $AC$6*$C288+$AD$6,
  $C288&lt;$C$9, $AC$7*$C288+$AD$7,
  $C288&lt;$C$10, $AC$8*$C288+$AD$8,
  $C288&lt;$C$11, $AC$9*$C288+$AD$9,
  $C288&lt;$C$12,  $AC$10*$C288+$AD$10,
  $C288&lt;$C$13, $AC$11*$C288+$AD$11,
  $AC$12*$C288+$AD$12
)</f>
        <v>2</v>
      </c>
      <c r="H288" cm="1">
        <f t="array" ref="H288">_xlfn.LET(
  _xlpm.y,$C288,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8" cm="1">
        <f t="array" ref="I288">_xlfn.LET(
  _xlpm.y,$C288,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8" cm="1">
        <f t="array" ref="J288">_xlfn.LET(
  _xlpm.y,$C288,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8" cm="1">
        <f t="array" ref="K288">_xlfn.LET(
  _xlpm.y,$C288,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8" cm="1">
        <f t="array" ref="L288">_xlfn.LET(
  _xlpm.y,$C288,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8" cm="1">
        <f t="array" ref="M288">_xlfn.SWITCH(TRUE,
  $C288&lt;$C$6,  $D$5,
  $C288&lt;$C$7,  $D$6,
  $C288&lt;$C$8,  $D$7,
  $C288&lt;$C$9,  $D$8,
  $C288&lt;$C$10,  $D$9,
  $C288&lt;$C$11,  $D$10,
  $C288&lt;$C$12,  $D$11,
  $C288&lt;$C$13,  $D$12,
  $C288&lt;$C$14,  $D$13,
  $C288&lt;100,  $D$14,
)</f>
        <v>6</v>
      </c>
      <c r="N288">
        <f>主翼翼型1!$R$18*'主翼(平面形結果)'!H288+主翼翼型2!$R$18*'主翼(平面形結果)'!I288+主翼翼型3!$R$18*'主翼(平面形結果)'!J288+主翼翼型4!$R$18*'主翼(平面形結果)'!K288+主翼翼型5!$R$18*'主翼(平面形結果)'!L288</f>
        <v>13.052013339722604</v>
      </c>
      <c r="O288">
        <f t="shared" si="1"/>
        <v>55.60157682721826</v>
      </c>
    </row>
    <row r="289" spans="2:15">
      <c r="B289">
        <f>'主翼(型紙出力)'!B132</f>
        <v>81</v>
      </c>
      <c r="C289">
        <f>INT(('主翼(型紙出力)'!C132)*1000)/1000</f>
        <v>12.35</v>
      </c>
      <c r="D289">
        <f>'主翼(型紙出力)'!E132</f>
        <v>0.15</v>
      </c>
      <c r="E289">
        <f>'主翼(重量推算)'!CE129</f>
        <v>0.27991428571428578</v>
      </c>
      <c r="F289" s="244" cm="1">
        <f t="array" ref="F289">_xlfn.SWITCH(TRUE,
  $C289&lt;$C$6,  $AA$4*$C289+$AB$4,
  $C289&lt;$C$7,  $AA$5*$C289+$AB$5,
  $C289&lt;$C$8,  $AA$6*$C289+$AB$6,
  $C289&lt;$C$9, $AA$7*$C289+$AB$7,
  $C289&lt;$C$10, $AA$8*$C289+$AB$8,
  $C289&lt;$C$11, $AA$9*$C289+$AB$9,
  $C289&lt;$C$12,  $AA$10*$C289+$AB$10,
  $C289&lt;$C$13, $AA$11*$C289+$AB$11,
  $AA$12*$C289+$AB$12
)</f>
        <v>0.3879999999999999</v>
      </c>
      <c r="G289" s="244" cm="1">
        <f t="array" ref="G289">_xlfn.SWITCH(TRUE,
  $C289&lt;$C$6,  $AC$4*$C289+$AD$4,
  $C289&lt;$C$7,  $AC$5*$C289+$AD$5,
  $C289&lt;$C$8,  $AC$6*$C289+$AD$6,
  $C289&lt;$C$9, $AC$7*$C289+$AD$7,
  $C289&lt;$C$10, $AC$8*$C289+$AD$8,
  $C289&lt;$C$11, $AC$9*$C289+$AD$9,
  $C289&lt;$C$12,  $AC$10*$C289+$AD$10,
  $C289&lt;$C$13, $AC$11*$C289+$AD$11,
  $AC$12*$C289+$AD$12
)</f>
        <v>2</v>
      </c>
      <c r="H289" cm="1">
        <f t="array" ref="H289">_xlfn.LET(
  _xlpm.y,$C289,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9" cm="1">
        <f t="array" ref="I289">_xlfn.LET(
  _xlpm.y,$C289,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9" cm="1">
        <f t="array" ref="J289">_xlfn.LET(
  _xlpm.y,$C289,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9" cm="1">
        <f t="array" ref="K289">_xlfn.LET(
  _xlpm.y,$C289,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9" cm="1">
        <f t="array" ref="L289">_xlfn.LET(
  _xlpm.y,$C289,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9" cm="1">
        <f t="array" ref="M289">_xlfn.SWITCH(TRUE,
  $C289&lt;$C$6,  $D$5,
  $C289&lt;$C$7,  $D$6,
  $C289&lt;$C$8,  $D$7,
  $C289&lt;$C$9,  $D$8,
  $C289&lt;$C$10,  $D$9,
  $C289&lt;$C$11,  $D$10,
  $C289&lt;$C$12,  $D$11,
  $C289&lt;$C$13,  $D$12,
  $C289&lt;$C$14,  $D$13,
  $C289&lt;100,  $D$14,
)</f>
        <v>6</v>
      </c>
      <c r="N289">
        <f>主翼翼型1!$R$18*'主翼(平面形結果)'!H289+主翼翼型2!$R$18*'主翼(平面形結果)'!I289+主翼翼型3!$R$18*'主翼(平面形結果)'!J289+主翼翼型4!$R$18*'主翼(平面形結果)'!K289+主翼翼型5!$R$18*'主翼(平面形結果)'!L289</f>
        <v>13.052013339722604</v>
      </c>
      <c r="O289">
        <f t="shared" si="1"/>
        <v>50.641811758123694</v>
      </c>
    </row>
    <row r="290" spans="2:15">
      <c r="B290">
        <f>'主翼(型紙出力)'!B133</f>
        <v>82</v>
      </c>
      <c r="C290">
        <f>INT(('主翼(型紙出力)'!C133)*1000)/1000</f>
        <v>12.5</v>
      </c>
      <c r="D290">
        <f>'主翼(型紙出力)'!E133</f>
        <v>0.15</v>
      </c>
      <c r="E290">
        <f>'主翼(重量推算)'!CE130</f>
        <v>0.27991428571428578</v>
      </c>
      <c r="F290" s="244" cm="1">
        <f t="array" ref="F290">_xlfn.SWITCH(TRUE,
  $C290&lt;$C$6,  $AA$4*$C290+$AB$4,
  $C290&lt;$C$7,  $AA$5*$C290+$AB$5,
  $C290&lt;$C$8,  $AA$6*$C290+$AB$6,
  $C290&lt;$C$9, $AA$7*$C290+$AB$7,
  $C290&lt;$C$10, $AA$8*$C290+$AB$8,
  $C290&lt;$C$11, $AA$9*$C290+$AB$9,
  $C290&lt;$C$12,  $AA$10*$C290+$AB$10,
  $C290&lt;$C$13, $AA$11*$C290+$AB$11,
  $AA$12*$C290+$AB$12
)</f>
        <v>0.35000000000000053</v>
      </c>
      <c r="G290" s="244" cm="1">
        <f t="array" ref="G290">_xlfn.SWITCH(TRUE,
  $C290&lt;$C$6,  $AC$4*$C290+$AD$4,
  $C290&lt;$C$7,  $AC$5*$C290+$AD$5,
  $C290&lt;$C$8,  $AC$6*$C290+$AD$6,
  $C290&lt;$C$9, $AC$7*$C290+$AD$7,
  $C290&lt;$C$10, $AC$8*$C290+$AD$8,
  $C290&lt;$C$11, $AC$9*$C290+$AD$9,
  $C290&lt;$C$12,  $AC$10*$C290+$AD$10,
  $C290&lt;$C$13, $AC$11*$C290+$AD$11,
  $AC$12*$C290+$AD$12
)</f>
        <v>2</v>
      </c>
      <c r="H290" cm="1">
        <f t="array" ref="H290">_xlfn.LET(
  _xlpm.y,$C290,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0" cm="1">
        <f t="array" ref="I290">_xlfn.LET(
  _xlpm.y,$C290,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0" cm="1">
        <f t="array" ref="J290">_xlfn.LET(
  _xlpm.y,$C290,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0" cm="1">
        <f t="array" ref="K290">_xlfn.LET(
  _xlpm.y,$C290,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0" cm="1">
        <f t="array" ref="L290">_xlfn.LET(
  _xlpm.y,$C290,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0" cm="1">
        <f t="array" ref="M290">_xlfn.SWITCH(TRUE,
  $C290&lt;$C$6,  $D$5,
  $C290&lt;$C$7,  $D$6,
  $C290&lt;$C$8,  $D$7,
  $C290&lt;$C$9,  $D$8,
  $C290&lt;$C$10,  $D$9,
  $C290&lt;$C$11,  $D$10,
  $C290&lt;$C$12,  $D$11,
  $C290&lt;$C$13,  $D$12,
  $C290&lt;$C$14,  $D$13,
  $C290&lt;100,  $D$14,
)</f>
        <v>6</v>
      </c>
      <c r="N290">
        <f>主翼翼型1!$R$18*'主翼(平面形結果)'!H290+主翼翼型2!$R$18*'主翼(平面形結果)'!I290+主翼翼型3!$R$18*'主翼(平面形結果)'!J290+主翼翼型4!$R$18*'主翼(平面形結果)'!K290+主翼翼型5!$R$18*'主翼(平面形結果)'!L290</f>
        <v>13.052013339722604</v>
      </c>
      <c r="O290">
        <f t="shared" si="1"/>
        <v>45.682046689029185</v>
      </c>
    </row>
    <row r="291" spans="2:15">
      <c r="B291">
        <f>'主翼(型紙出力)'!B134</f>
        <v>83</v>
      </c>
      <c r="C291">
        <f>INT(('主翼(型紙出力)'!C134)*1000)/1000</f>
        <v>12.65</v>
      </c>
      <c r="D291">
        <f>'主翼(型紙出力)'!E134</f>
        <v>0.15</v>
      </c>
      <c r="E291">
        <f>'主翼(重量推算)'!CE131</f>
        <v>0.27991428571428578</v>
      </c>
      <c r="F291" s="244" cm="1">
        <f t="array" ref="F291">_xlfn.SWITCH(TRUE,
  $C291&lt;$C$6,  $AA$4*$C291+$AB$4,
  $C291&lt;$C$7,  $AA$5*$C291+$AB$5,
  $C291&lt;$C$8,  $AA$6*$C291+$AB$6,
  $C291&lt;$C$9, $AA$7*$C291+$AB$7,
  $C291&lt;$C$10, $AA$8*$C291+$AB$8,
  $C291&lt;$C$11, $AA$9*$C291+$AB$9,
  $C291&lt;$C$12,  $AA$10*$C291+$AB$10,
  $C291&lt;$C$13, $AA$11*$C291+$AB$11,
  $AA$12*$C291+$AB$12
)</f>
        <v>0.30000000000000071</v>
      </c>
      <c r="G291" s="244" cm="1">
        <f t="array" ref="G291">_xlfn.SWITCH(TRUE,
  $C291&lt;$C$6,  $AC$4*$C291+$AD$4,
  $C291&lt;$C$7,  $AC$5*$C291+$AD$5,
  $C291&lt;$C$8,  $AC$6*$C291+$AD$6,
  $C291&lt;$C$9, $AC$7*$C291+$AD$7,
  $C291&lt;$C$10, $AC$8*$C291+$AD$8,
  $C291&lt;$C$11, $AC$9*$C291+$AD$9,
  $C291&lt;$C$12,  $AC$10*$C291+$AD$10,
  $C291&lt;$C$13, $AC$11*$C291+$AD$11,
  $AC$12*$C291+$AD$12
)</f>
        <v>1.8999999999999986</v>
      </c>
      <c r="H291" cm="1">
        <f t="array" ref="H291">_xlfn.LET(
  _xlpm.y,$C291,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1" cm="1">
        <f t="array" ref="I291">_xlfn.LET(
  _xlpm.y,$C291,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1" cm="1">
        <f t="array" ref="J291">_xlfn.LET(
  _xlpm.y,$C291,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1" cm="1">
        <f t="array" ref="K291">_xlfn.LET(
  _xlpm.y,$C291,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1" cm="1">
        <f t="array" ref="L291">_xlfn.LET(
  _xlpm.y,$C291,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1" cm="1">
        <f t="array" ref="M291">_xlfn.SWITCH(TRUE,
  $C291&lt;$C$6,  $D$5,
  $C291&lt;$C$7,  $D$6,
  $C291&lt;$C$8,  $D$7,
  $C291&lt;$C$9,  $D$8,
  $C291&lt;$C$10,  $D$9,
  $C291&lt;$C$11,  $D$10,
  $C291&lt;$C$12,  $D$11,
  $C291&lt;$C$13,  $D$12,
  $C291&lt;$C$14,  $D$13,
  $C291&lt;100,  $D$14,
)</f>
        <v>6</v>
      </c>
      <c r="N291">
        <f>主翼翼型1!$R$18*'主翼(平面形結果)'!H291+主翼翼型2!$R$18*'主翼(平面形結果)'!I291+主翼翼型3!$R$18*'主翼(平面形結果)'!J291+主翼翼型4!$R$18*'主翼(平面形結果)'!K291+主翼翼型5!$R$18*'主翼(平面形結果)'!L291</f>
        <v>13.052013339722604</v>
      </c>
      <c r="O291">
        <f t="shared" si="1"/>
        <v>39.156040019167904</v>
      </c>
    </row>
    <row r="292" spans="2:15">
      <c r="B292">
        <f>'主翼(型紙出力)'!B135</f>
        <v>84</v>
      </c>
      <c r="C292">
        <f>INT(('主翼(型紙出力)'!C135)*1000)/1000</f>
        <v>12.8</v>
      </c>
      <c r="D292">
        <f>'主翼(型紙出力)'!E135</f>
        <v>0.15</v>
      </c>
      <c r="E292">
        <f>'主翼(重量推算)'!CE132</f>
        <v>0.27991428571428578</v>
      </c>
      <c r="F292" s="244" cm="1">
        <f t="array" ref="F292">_xlfn.SWITCH(TRUE,
  $C292&lt;$C$6,  $AA$4*$C292+$AB$4,
  $C292&lt;$C$7,  $AA$5*$C292+$AB$5,
  $C292&lt;$C$8,  $AA$6*$C292+$AB$6,
  $C292&lt;$C$9, $AA$7*$C292+$AB$7,
  $C292&lt;$C$10, $AA$8*$C292+$AB$8,
  $C292&lt;$C$11, $AA$9*$C292+$AB$9,
  $C292&lt;$C$12,  $AA$10*$C292+$AB$10,
  $C292&lt;$C$13, $AA$11*$C292+$AB$11,
  $AA$12*$C292+$AB$12
)</f>
        <v>0.25</v>
      </c>
      <c r="G292" s="244" cm="1">
        <f t="array" ref="G292">_xlfn.SWITCH(TRUE,
  $C292&lt;$C$6,  $AC$4*$C292+$AD$4,
  $C292&lt;$C$7,  $AC$5*$C292+$AD$5,
  $C292&lt;$C$8,  $AC$6*$C292+$AD$6,
  $C292&lt;$C$9, $AC$7*$C292+$AD$7,
  $C292&lt;$C$10, $AC$8*$C292+$AD$8,
  $C292&lt;$C$11, $AC$9*$C292+$AD$9,
  $C292&lt;$C$12,  $AC$10*$C292+$AD$10,
  $C292&lt;$C$13, $AC$11*$C292+$AD$11,
  $AC$12*$C292+$AD$12
)</f>
        <v>1.7999999999999989</v>
      </c>
      <c r="H292" cm="1">
        <f t="array" ref="H292">_xlfn.LET(
  _xlpm.y,$C292,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2" cm="1">
        <f t="array" ref="I292">_xlfn.LET(
  _xlpm.y,$C292,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2" cm="1">
        <f t="array" ref="J292">_xlfn.LET(
  _xlpm.y,$C292,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2" cm="1">
        <f t="array" ref="K292">_xlfn.LET(
  _xlpm.y,$C292,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2" cm="1">
        <f t="array" ref="L292">_xlfn.LET(
  _xlpm.y,$C292,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2" cm="1">
        <f t="array" ref="M292">_xlfn.SWITCH(TRUE,
  $C292&lt;$C$6,  $D$5,
  $C292&lt;$C$7,  $D$6,
  $C292&lt;$C$8,  $D$7,
  $C292&lt;$C$9,  $D$8,
  $C292&lt;$C$10,  $D$9,
  $C292&lt;$C$11,  $D$10,
  $C292&lt;$C$12,  $D$11,
  $C292&lt;$C$13,  $D$12,
  $C292&lt;$C$14,  $D$13,
  $C292&lt;100,  $D$14,
)</f>
        <v>6</v>
      </c>
      <c r="N292">
        <f>主翼翼型1!$R$18*'主翼(平面形結果)'!H292+主翼翼型2!$R$18*'主翼(平面形結果)'!I292+主翼翼型3!$R$18*'主翼(平面形結果)'!J292+主翼翼型4!$R$18*'主翼(平面形結果)'!K292+主翼翼型5!$R$18*'主翼(平面形結果)'!L292</f>
        <v>13.052013339722604</v>
      </c>
      <c r="O292">
        <f t="shared" si="1"/>
        <v>32.630033349306508</v>
      </c>
    </row>
    <row r="293" spans="2:15">
      <c r="B293">
        <f>'主翼(型紙出力)'!B136</f>
        <v>85</v>
      </c>
      <c r="C293">
        <f>INT(('主翼(型紙出力)'!C136)*1000)/1000</f>
        <v>12.95</v>
      </c>
      <c r="D293">
        <f>'主翼(型紙出力)'!E136</f>
        <v>0.15</v>
      </c>
      <c r="E293">
        <f>'主翼(重量推算)'!CE133</f>
        <v>0.27991428571428578</v>
      </c>
      <c r="F293" s="244" cm="1">
        <f t="array" ref="F293">_xlfn.SWITCH(TRUE,
  $C293&lt;$C$6,  $AA$4*$C293+$AB$4,
  $C293&lt;$C$7,  $AA$5*$C293+$AB$5,
  $C293&lt;$C$8,  $AA$6*$C293+$AB$6,
  $C293&lt;$C$9, $AA$7*$C293+$AB$7,
  $C293&lt;$C$10, $AA$8*$C293+$AB$8,
  $C293&lt;$C$11, $AA$9*$C293+$AB$9,
  $C293&lt;$C$12,  $AA$10*$C293+$AB$10,
  $C293&lt;$C$13, $AA$11*$C293+$AB$11,
  $AA$12*$C293+$AB$12
)</f>
        <v>0.19999999999999973</v>
      </c>
      <c r="G293" s="244" cm="1">
        <f t="array" ref="G293">_xlfn.SWITCH(TRUE,
  $C293&lt;$C$6,  $AC$4*$C293+$AD$4,
  $C293&lt;$C$7,  $AC$5*$C293+$AD$5,
  $C293&lt;$C$8,  $AC$6*$C293+$AD$6,
  $C293&lt;$C$9, $AC$7*$C293+$AD$7,
  $C293&lt;$C$10, $AC$8*$C293+$AD$8,
  $C293&lt;$C$11, $AC$9*$C293+$AD$9,
  $C293&lt;$C$12,  $AC$10*$C293+$AD$10,
  $C293&lt;$C$13, $AC$11*$C293+$AD$11,
  $AC$12*$C293+$AD$12
)</f>
        <v>1.7</v>
      </c>
      <c r="H293" cm="1">
        <f t="array" ref="H293">_xlfn.LET(
  _xlpm.y,$C293,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3" cm="1">
        <f t="array" ref="I293">_xlfn.LET(
  _xlpm.y,$C293,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3" cm="1">
        <f t="array" ref="J293">_xlfn.LET(
  _xlpm.y,$C293,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3" cm="1">
        <f t="array" ref="K293">_xlfn.LET(
  _xlpm.y,$C293,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3" cm="1">
        <f t="array" ref="L293">_xlfn.LET(
  _xlpm.y,$C293,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3" cm="1">
        <f t="array" ref="M293">_xlfn.SWITCH(TRUE,
  $C293&lt;$C$6,  $D$5,
  $C293&lt;$C$7,  $D$6,
  $C293&lt;$C$8,  $D$7,
  $C293&lt;$C$9,  $D$8,
  $C293&lt;$C$10,  $D$9,
  $C293&lt;$C$11,  $D$10,
  $C293&lt;$C$12,  $D$11,
  $C293&lt;$C$13,  $D$12,
  $C293&lt;$C$14,  $D$13,
  $C293&lt;100,  $D$14,
)</f>
        <v>12</v>
      </c>
      <c r="N293">
        <f>主翼翼型1!$R$18*'主翼(平面形結果)'!H293+主翼翼型2!$R$18*'主翼(平面形結果)'!I293+主翼翼型3!$R$18*'主翼(平面形結果)'!J293+主翼翼型4!$R$18*'主翼(平面形結果)'!K293+主翼翼型5!$R$18*'主翼(平面形結果)'!L293</f>
        <v>13.052013339722604</v>
      </c>
      <c r="O293">
        <f t="shared" si="1"/>
        <v>26.104026679445177</v>
      </c>
    </row>
    <row r="294" spans="2:15">
      <c r="B294">
        <f>'主翼(型紙出力)'!B137</f>
        <v>86</v>
      </c>
      <c r="C294">
        <f>INT(('主翼(型紙出力)'!C137)*1000)/1000</f>
        <v>13.1</v>
      </c>
      <c r="D294">
        <f>'主翼(型紙出力)'!E137</f>
        <v>0.15</v>
      </c>
      <c r="E294">
        <f>'主翼(重量推算)'!CE134</f>
        <v>0.27991428571428578</v>
      </c>
      <c r="F294" s="244" cm="1">
        <f t="array" ref="F294">_xlfn.SWITCH(TRUE,
  $C294&lt;$C$6,  $AA$4*$C294+$AB$4,
  $C294&lt;$C$7,  $AA$5*$C294+$AB$5,
  $C294&lt;$C$8,  $AA$6*$C294+$AB$6,
  $C294&lt;$C$9, $AA$7*$C294+$AB$7,
  $C294&lt;$C$10, $AA$8*$C294+$AB$8,
  $C294&lt;$C$11, $AA$9*$C294+$AB$9,
  $C294&lt;$C$12,  $AA$10*$C294+$AB$10,
  $C294&lt;$C$13, $AA$11*$C294+$AB$11,
  $AA$12*$C294+$AB$12
)</f>
        <v>0.17499999999999982</v>
      </c>
      <c r="G294" s="244" cm="1">
        <f t="array" ref="G294">_xlfn.SWITCH(TRUE,
  $C294&lt;$C$6,  $AC$4*$C294+$AD$4,
  $C294&lt;$C$7,  $AC$5*$C294+$AD$5,
  $C294&lt;$C$8,  $AC$6*$C294+$AD$6,
  $C294&lt;$C$9, $AC$7*$C294+$AD$7,
  $C294&lt;$C$10, $AC$8*$C294+$AD$8,
  $C294&lt;$C$11, $AC$9*$C294+$AD$9,
  $C294&lt;$C$12,  $AC$10*$C294+$AD$10,
  $C294&lt;$C$13, $AC$11*$C294+$AD$11,
  $AC$12*$C294+$AD$12
)</f>
        <v>1.7</v>
      </c>
      <c r="H294" cm="1">
        <f t="array" ref="H294">_xlfn.LET(
  _xlpm.y,$C294,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4" cm="1">
        <f t="array" ref="I294">_xlfn.LET(
  _xlpm.y,$C294,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4" cm="1">
        <f t="array" ref="J294">_xlfn.LET(
  _xlpm.y,$C294,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4" cm="1">
        <f t="array" ref="K294">_xlfn.LET(
  _xlpm.y,$C294,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4" cm="1">
        <f t="array" ref="L294">_xlfn.LET(
  _xlpm.y,$C294,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4" cm="1">
        <f t="array" ref="M294">_xlfn.SWITCH(TRUE,
  $C294&lt;$C$6,  $D$5,
  $C294&lt;$C$7,  $D$6,
  $C294&lt;$C$8,  $D$7,
  $C294&lt;$C$9,  $D$8,
  $C294&lt;$C$10,  $D$9,
  $C294&lt;$C$11,  $D$10,
  $C294&lt;$C$12,  $D$11,
  $C294&lt;$C$13,  $D$12,
  $C294&lt;$C$14,  $D$13,
  $C294&lt;100,  $D$14,
)</f>
        <v>12</v>
      </c>
      <c r="N294">
        <f>主翼翼型1!$R$18*'主翼(平面形結果)'!H294+主翼翼型2!$R$18*'主翼(平面形結果)'!I294+主翼翼型3!$R$18*'主翼(平面形結果)'!J294+主翼翼型4!$R$18*'主翼(平面形結果)'!K294+主翼翼型5!$R$18*'主翼(平面形結果)'!L294</f>
        <v>13.052013339722604</v>
      </c>
      <c r="O294">
        <f t="shared" si="1"/>
        <v>22.841023344514532</v>
      </c>
    </row>
    <row r="295" spans="2:15">
      <c r="B295">
        <f>'主翼(型紙出力)'!B138</f>
        <v>87</v>
      </c>
      <c r="C295">
        <f>INT(('主翼(型紙出力)'!C138)*1000)/1000</f>
        <v>13.25</v>
      </c>
      <c r="D295">
        <f>'主翼(型紙出力)'!E138</f>
        <v>0</v>
      </c>
      <c r="E295">
        <f>'主翼(重量推算)'!CE135</f>
        <v>0.27991428571428578</v>
      </c>
      <c r="F295" s="244" cm="1">
        <f t="array" ref="F295">_xlfn.SWITCH(TRUE,
  $C295&lt;$C$6,  $AA$4*$C295+$AB$4,
  $C295&lt;$C$7,  $AA$5*$C295+$AB$5,
  $C295&lt;$C$8,  $AA$6*$C295+$AB$6,
  $C295&lt;$C$9, $AA$7*$C295+$AB$7,
  $C295&lt;$C$10, $AA$8*$C295+$AB$8,
  $C295&lt;$C$11, $AA$9*$C295+$AB$9,
  $C295&lt;$C$12,  $AA$10*$C295+$AB$10,
  $C295&lt;$C$13, $AA$11*$C295+$AB$11,
  $AA$12*$C295+$AB$12
)</f>
        <v>0.14999999999999991</v>
      </c>
      <c r="G295" s="244" cm="1">
        <f t="array" ref="G295">_xlfn.SWITCH(TRUE,
  $C295&lt;$C$6,  $AC$4*$C295+$AD$4,
  $C295&lt;$C$7,  $AC$5*$C295+$AD$5,
  $C295&lt;$C$8,  $AC$6*$C295+$AD$6,
  $C295&lt;$C$9, $AC$7*$C295+$AD$7,
  $C295&lt;$C$10, $AC$8*$C295+$AD$8,
  $C295&lt;$C$11, $AC$9*$C295+$AD$9,
  $C295&lt;$C$12,  $AC$10*$C295+$AD$10,
  $C295&lt;$C$13, $AC$11*$C295+$AD$11,
  $AC$12*$C295+$AD$12
)</f>
        <v>1.7</v>
      </c>
      <c r="H295" cm="1">
        <f t="array" ref="H295">_xlfn.LET(
  _xlpm.y,$C295,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5" cm="1">
        <f t="array" ref="I295">_xlfn.LET(
  _xlpm.y,$C295,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5" cm="1">
        <f t="array" ref="J295">_xlfn.LET(
  _xlpm.y,$C295,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5" cm="1">
        <f t="array" ref="K295">_xlfn.LET(
  _xlpm.y,$C295,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5" cm="1">
        <f t="array" ref="L295">_xlfn.LET(
  _xlpm.y,$C295,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5" cm="1">
        <f t="array" ref="M295">_xlfn.SWITCH(TRUE,
  $C295&lt;$C$6,  $D$5,
  $C295&lt;$C$7,  $D$6,
  $C295&lt;$C$8,  $D$7,
  $C295&lt;$C$9,  $D$8,
  $C295&lt;$C$10,  $D$9,
  $C295&lt;$C$11,  $D$10,
  $C295&lt;$C$12,  $D$11,
  $C295&lt;$C$13,  $D$12,
  $C295&lt;$C$14,  $D$13,
  $C295&lt;100,  $D$14,
)</f>
        <v>12</v>
      </c>
      <c r="N295">
        <f>主翼翼型1!$R$18*'主翼(平面形結果)'!H295+主翼翼型2!$R$18*'主翼(平面形結果)'!I295+主翼翼型3!$R$18*'主翼(平面形結果)'!J295+主翼翼型4!$R$18*'主翼(平面形結果)'!K295+主翼翼型5!$R$18*'主翼(平面形結果)'!L295</f>
        <v>13.052013339722604</v>
      </c>
      <c r="O295">
        <f t="shared" si="1"/>
        <v>19.578020009583895</v>
      </c>
    </row>
    <row r="296" spans="2:15">
      <c r="B296">
        <f>'主翼(型紙出力)'!B139</f>
        <v>0</v>
      </c>
      <c r="C296">
        <f>INT(('主翼(型紙出力)'!C139)*1000)/1000</f>
        <v>0</v>
      </c>
      <c r="D296">
        <f>'主翼(型紙出力)'!E139</f>
        <v>0</v>
      </c>
      <c r="E296">
        <f>'主翼(重量推算)'!CE136</f>
        <v>0</v>
      </c>
      <c r="F296" s="244" cm="1">
        <f t="array" ref="F296">_xlfn.SWITCH(TRUE,
  $C296&lt;$C$6,  $AA$4*$C296+$AB$4,
  $C296&lt;$C$7,  $AA$5*$C296+$AB$5,
  $C296&lt;$C$8,  $AA$6*$C296+$AB$6,
  $C296&lt;$C$9, $AA$7*$C296+$AB$7,
  $C296&lt;$C$10, $AA$8*$C296+$AB$8,
  $C296&lt;$C$11, $AA$9*$C296+$AB$9,
  $C296&lt;$C$12,  $AA$10*$C296+$AB$10,
  $C296&lt;$C$13, $AA$11*$C296+$AB$11,
  $AA$12*$C296+$AB$12
)</f>
        <v>1.1000000000000001</v>
      </c>
      <c r="G296" s="244" cm="1">
        <f t="array" ref="G296">_xlfn.SWITCH(TRUE,
  $C296&lt;$C$6,  $AC$4*$C296+$AD$4,
  $C296&lt;$C$7,  $AC$5*$C296+$AD$5,
  $C296&lt;$C$8,  $AC$6*$C296+$AD$6,
  $C296&lt;$C$9, $AC$7*$C296+$AD$7,
  $C296&lt;$C$10, $AC$8*$C296+$AD$8,
  $C296&lt;$C$11, $AC$9*$C296+$AD$9,
  $C296&lt;$C$12,  $AC$10*$C296+$AD$10,
  $C296&lt;$C$13, $AC$11*$C296+$AD$11,
  $AC$12*$C296+$AD$12
)</f>
        <v>3.7199999999999998</v>
      </c>
      <c r="H296" cm="1">
        <f t="array" ref="H296">_xlfn.LET(
  _xlpm.y,$C296,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6" cm="1">
        <f t="array" ref="I296">_xlfn.LET(
  _xlpm.y,$C296,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6" cm="1">
        <f t="array" ref="J296">_xlfn.LET(
  _xlpm.y,$C296,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6" cm="1">
        <f t="array" ref="K296">_xlfn.LET(
  _xlpm.y,$C296,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6" cm="1">
        <f t="array" ref="L296">_xlfn.LET(
  _xlpm.y,$C296,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6" cm="1">
        <f t="array" ref="M296">_xlfn.SWITCH(TRUE,
  $C296&lt;$C$6,  $D$5,
  $C296&lt;$C$7,  $D$6,
  $C296&lt;$C$8,  $D$7,
  $C296&lt;$C$9,  $D$8,
  $C296&lt;$C$10,  $D$9,
  $C296&lt;$C$11,  $D$10,
  $C296&lt;$C$12,  $D$11,
  $C296&lt;$C$13,  $D$12,
  $C296&lt;$C$14,  $D$13,
  $C296&lt;100,  $D$14,
)</f>
        <v>0</v>
      </c>
      <c r="N296">
        <f>主翼翼型1!$R$18*'主翼(平面形結果)'!H296+主翼翼型2!$R$18*'主翼(平面形結果)'!I296+主翼翼型3!$R$18*'主翼(平面形結果)'!J296+主翼翼型4!$R$18*'主翼(平面形結果)'!K296+主翼翼型5!$R$18*'主翼(平面形結果)'!L296</f>
        <v>14.593327618117016</v>
      </c>
      <c r="O296">
        <f t="shared" si="1"/>
        <v>160.52660379928719</v>
      </c>
    </row>
    <row r="297" spans="2:15">
      <c r="B297">
        <f>'主翼(型紙出力)'!B140</f>
        <v>0</v>
      </c>
      <c r="C297">
        <f>INT(('主翼(型紙出力)'!C140)*1000)/1000</f>
        <v>0</v>
      </c>
      <c r="D297">
        <f>'主翼(型紙出力)'!E140</f>
        <v>0</v>
      </c>
      <c r="E297">
        <f>'主翼(重量推算)'!CE137</f>
        <v>0</v>
      </c>
      <c r="F297" s="244" cm="1">
        <f t="array" ref="F297">_xlfn.SWITCH(TRUE,
  $C297&lt;$C$6,  $AA$4*$C297+$AB$4,
  $C297&lt;$C$7,  $AA$5*$C297+$AB$5,
  $C297&lt;$C$8,  $AA$6*$C297+$AB$6,
  $C297&lt;$C$9, $AA$7*$C297+$AB$7,
  $C297&lt;$C$10, $AA$8*$C297+$AB$8,
  $C297&lt;$C$11, $AA$9*$C297+$AB$9,
  $C297&lt;$C$12,  $AA$10*$C297+$AB$10,
  $C297&lt;$C$13, $AA$11*$C297+$AB$11,
  $AA$12*$C297+$AB$12
)</f>
        <v>1.1000000000000001</v>
      </c>
      <c r="G297" s="244" cm="1">
        <f t="array" ref="G297">_xlfn.SWITCH(TRUE,
  $C297&lt;$C$6,  $AC$4*$C297+$AD$4,
  $C297&lt;$C$7,  $AC$5*$C297+$AD$5,
  $C297&lt;$C$8,  $AC$6*$C297+$AD$6,
  $C297&lt;$C$9, $AC$7*$C297+$AD$7,
  $C297&lt;$C$10, $AC$8*$C297+$AD$8,
  $C297&lt;$C$11, $AC$9*$C297+$AD$9,
  $C297&lt;$C$12,  $AC$10*$C297+$AD$10,
  $C297&lt;$C$13, $AC$11*$C297+$AD$11,
  $AC$12*$C297+$AD$12
)</f>
        <v>3.7199999999999998</v>
      </c>
      <c r="H297" cm="1">
        <f t="array" ref="H297">_xlfn.LET(
  _xlpm.y,$C297,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7" cm="1">
        <f t="array" ref="I297">_xlfn.LET(
  _xlpm.y,$C297,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7" cm="1">
        <f t="array" ref="J297">_xlfn.LET(
  _xlpm.y,$C297,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7" cm="1">
        <f t="array" ref="K297">_xlfn.LET(
  _xlpm.y,$C297,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7" cm="1">
        <f t="array" ref="L297">_xlfn.LET(
  _xlpm.y,$C297,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7" cm="1">
        <f t="array" ref="M297">_xlfn.SWITCH(TRUE,
  $C297&lt;$C$6,  $D$5,
  $C297&lt;$C$7,  $D$6,
  $C297&lt;$C$8,  $D$7,
  $C297&lt;$C$9,  $D$8,
  $C297&lt;$C$10,  $D$9,
  $C297&lt;$C$11,  $D$10,
  $C297&lt;$C$12,  $D$11,
  $C297&lt;$C$13,  $D$12,
  $C297&lt;$C$14,  $D$13,
  $C297&lt;100,  $D$14,
)</f>
        <v>0</v>
      </c>
      <c r="N297">
        <f>主翼翼型1!$R$18*'主翼(平面形結果)'!H297+主翼翼型2!$R$18*'主翼(平面形結果)'!I297+主翼翼型3!$R$18*'主翼(平面形結果)'!J297+主翼翼型4!$R$18*'主翼(平面形結果)'!K297+主翼翼型5!$R$18*'主翼(平面形結果)'!L297</f>
        <v>14.593327618117016</v>
      </c>
      <c r="O297">
        <f t="shared" si="1"/>
        <v>160.52660379928719</v>
      </c>
    </row>
    <row r="298" spans="2:15">
      <c r="B298">
        <f>'主翼(型紙出力)'!B141</f>
        <v>0</v>
      </c>
      <c r="C298">
        <f>INT(('主翼(型紙出力)'!C141)*1000)/1000</f>
        <v>0</v>
      </c>
      <c r="D298">
        <f>'主翼(型紙出力)'!E141</f>
        <v>0</v>
      </c>
      <c r="E298">
        <f>'主翼(重量推算)'!CE138</f>
        <v>0</v>
      </c>
      <c r="F298" s="244" cm="1">
        <f t="array" ref="F298">_xlfn.SWITCH(TRUE,
  $C298&lt;$C$6,  $AA$4*$C298+$AB$4,
  $C298&lt;$C$7,  $AA$5*$C298+$AB$5,
  $C298&lt;$C$8,  $AA$6*$C298+$AB$6,
  $C298&lt;$C$9, $AA$7*$C298+$AB$7,
  $C298&lt;$C$10, $AA$8*$C298+$AB$8,
  $C298&lt;$C$11, $AA$9*$C298+$AB$9,
  $C298&lt;$C$12,  $AA$10*$C298+$AB$10,
  $C298&lt;$C$13, $AA$11*$C298+$AB$11,
  $AA$12*$C298+$AB$12
)</f>
        <v>1.1000000000000001</v>
      </c>
      <c r="G298" s="244" cm="1">
        <f t="array" ref="G298">_xlfn.SWITCH(TRUE,
  $C298&lt;$C$6,  $AC$4*$C298+$AD$4,
  $C298&lt;$C$7,  $AC$5*$C298+$AD$5,
  $C298&lt;$C$8,  $AC$6*$C298+$AD$6,
  $C298&lt;$C$9, $AC$7*$C298+$AD$7,
  $C298&lt;$C$10, $AC$8*$C298+$AD$8,
  $C298&lt;$C$11, $AC$9*$C298+$AD$9,
  $C298&lt;$C$12,  $AC$10*$C298+$AD$10,
  $C298&lt;$C$13, $AC$11*$C298+$AD$11,
  $AC$12*$C298+$AD$12
)</f>
        <v>3.7199999999999998</v>
      </c>
      <c r="H298" cm="1">
        <f t="array" ref="H298">_xlfn.LET(
  _xlpm.y,$C298,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8" cm="1">
        <f t="array" ref="I298">_xlfn.LET(
  _xlpm.y,$C298,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8" cm="1">
        <f t="array" ref="J298">_xlfn.LET(
  _xlpm.y,$C298,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8" cm="1">
        <f t="array" ref="K298">_xlfn.LET(
  _xlpm.y,$C298,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8" cm="1">
        <f t="array" ref="L298">_xlfn.LET(
  _xlpm.y,$C298,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8" cm="1">
        <f t="array" ref="M298">_xlfn.SWITCH(TRUE,
  $C298&lt;$C$6,  $D$5,
  $C298&lt;$C$7,  $D$6,
  $C298&lt;$C$8,  $D$7,
  $C298&lt;$C$9,  $D$8,
  $C298&lt;$C$10,  $D$9,
  $C298&lt;$C$11,  $D$10,
  $C298&lt;$C$12,  $D$11,
  $C298&lt;$C$13,  $D$12,
  $C298&lt;$C$14,  $D$13,
  $C298&lt;100,  $D$14,
)</f>
        <v>0</v>
      </c>
      <c r="N298">
        <f>主翼翼型1!$R$18*'主翼(平面形結果)'!H298+主翼翼型2!$R$18*'主翼(平面形結果)'!I298+主翼翼型3!$R$18*'主翼(平面形結果)'!J298+主翼翼型4!$R$18*'主翼(平面形結果)'!K298+主翼翼型5!$R$18*'主翼(平面形結果)'!L298</f>
        <v>14.593327618117016</v>
      </c>
      <c r="O298">
        <f t="shared" si="1"/>
        <v>160.52660379928719</v>
      </c>
    </row>
    <row r="299" spans="2:15">
      <c r="B299">
        <f>'主翼(型紙出力)'!B142</f>
        <v>0</v>
      </c>
      <c r="C299">
        <f>INT(('主翼(型紙出力)'!C142)*1000)/1000</f>
        <v>0</v>
      </c>
      <c r="D299">
        <f>'主翼(型紙出力)'!E142</f>
        <v>0</v>
      </c>
      <c r="E299">
        <f>'主翼(重量推算)'!CE139</f>
        <v>0</v>
      </c>
      <c r="F299" s="244" cm="1">
        <f t="array" ref="F299">_xlfn.SWITCH(TRUE,
  $C299&lt;$C$6,  $AA$4*$C299+$AB$4,
  $C299&lt;$C$7,  $AA$5*$C299+$AB$5,
  $C299&lt;$C$8,  $AA$6*$C299+$AB$6,
  $C299&lt;$C$9, $AA$7*$C299+$AB$7,
  $C299&lt;$C$10, $AA$8*$C299+$AB$8,
  $C299&lt;$C$11, $AA$9*$C299+$AB$9,
  $C299&lt;$C$12,  $AA$10*$C299+$AB$10,
  $C299&lt;$C$13, $AA$11*$C299+$AB$11,
  $AA$12*$C299+$AB$12
)</f>
        <v>1.1000000000000001</v>
      </c>
      <c r="G299" s="244" cm="1">
        <f t="array" ref="G299">_xlfn.SWITCH(TRUE,
  $C299&lt;$C$6,  $AC$4*$C299+$AD$4,
  $C299&lt;$C$7,  $AC$5*$C299+$AD$5,
  $C299&lt;$C$8,  $AC$6*$C299+$AD$6,
  $C299&lt;$C$9, $AC$7*$C299+$AD$7,
  $C299&lt;$C$10, $AC$8*$C299+$AD$8,
  $C299&lt;$C$11, $AC$9*$C299+$AD$9,
  $C299&lt;$C$12,  $AC$10*$C299+$AD$10,
  $C299&lt;$C$13, $AC$11*$C299+$AD$11,
  $AC$12*$C299+$AD$12
)</f>
        <v>3.7199999999999998</v>
      </c>
      <c r="H299" cm="1">
        <f t="array" ref="H299">_xlfn.LET(
  _xlpm.y,$C299,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9" cm="1">
        <f t="array" ref="I299">_xlfn.LET(
  _xlpm.y,$C299,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9" cm="1">
        <f t="array" ref="J299">_xlfn.LET(
  _xlpm.y,$C299,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9" cm="1">
        <f t="array" ref="K299">_xlfn.LET(
  _xlpm.y,$C299,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9" cm="1">
        <f t="array" ref="L299">_xlfn.LET(
  _xlpm.y,$C299,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9" cm="1">
        <f t="array" ref="M299">_xlfn.SWITCH(TRUE,
  $C299&lt;$C$6,  $D$5,
  $C299&lt;$C$7,  $D$6,
  $C299&lt;$C$8,  $D$7,
  $C299&lt;$C$9,  $D$8,
  $C299&lt;$C$10,  $D$9,
  $C299&lt;$C$11,  $D$10,
  $C299&lt;$C$12,  $D$11,
  $C299&lt;$C$13,  $D$12,
  $C299&lt;$C$14,  $D$13,
  $C299&lt;100,  $D$14,
)</f>
        <v>0</v>
      </c>
      <c r="N299">
        <f>主翼翼型1!$R$18*'主翼(平面形結果)'!H299+主翼翼型2!$R$18*'主翼(平面形結果)'!I299+主翼翼型3!$R$18*'主翼(平面形結果)'!J299+主翼翼型4!$R$18*'主翼(平面形結果)'!K299+主翼翼型5!$R$18*'主翼(平面形結果)'!L299</f>
        <v>14.593327618117016</v>
      </c>
      <c r="O299">
        <f t="shared" si="1"/>
        <v>160.52660379928719</v>
      </c>
    </row>
    <row r="300" spans="2:15">
      <c r="B300">
        <f>'主翼(型紙出力)'!B143</f>
        <v>0</v>
      </c>
      <c r="C300">
        <f>'主翼(型紙出力)'!C143</f>
        <v>0</v>
      </c>
      <c r="D300">
        <f>'主翼(型紙出力)'!E143</f>
        <v>0</v>
      </c>
      <c r="E300">
        <f>'主翼(重量推算)'!CE140</f>
        <v>0</v>
      </c>
      <c r="F300" s="244" cm="1">
        <f t="array" ref="F300">_xlfn.SWITCH(TRUE,
  $C300&lt;$C$6,  $AA$4*$C300+$AB$4,
  $C300&lt;$C$7,  $AA$5*$C300+$AB$5,
  $C300&lt;$C$8,  $AA$6*$C300+$AB$6,
  $C300&lt;$C$9, $AA$7*$C300+$AB$7,
  $C300&lt;$C$10, $AA$8*$C300+$AB$8,
  $C300&lt;$C$11, $AA$9*$C300+$AB$9,
  $C300&lt;$C$12,  $AA$10*$C300+$AB$10,
  $C300&lt;$C$13, $AA$11*$C300+$AB$11,
  $AA$12*$C300+$AB$12
)</f>
        <v>1.1000000000000001</v>
      </c>
      <c r="G300" s="244" cm="1">
        <f t="array" ref="G300">_xlfn.SWITCH(TRUE,
  $C300&lt;$C$6,  $AC$4*$C300+$AD$4,
  $C300&lt;$C$7,  $AC$5*$C300+$AD$5,
  $C300&lt;$C$8,  $AC$6*$C300+$AD$6,
  $C300&lt;$C$9, $AC$7*$C300+$AD$7,
  $C300&lt;$C$10, $AC$8*$C300+$AD$8,
  $C300&lt;$C$11, $AC$9*$C300+$AD$9,
  $C300&lt;$C$12,  $AC$10*$C300+$AD$10,
  $C300&lt;$C$13, $AC$11*$C300+$AD$11,
  $AC$12*$C300+$AD$12
)</f>
        <v>3.7199999999999998</v>
      </c>
      <c r="H300" cm="1">
        <f t="array" ref="H300">_xlfn.LET(
  _xlpm.y,$C300,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0" cm="1">
        <f t="array" ref="I300">_xlfn.LET(
  _xlpm.y,$C300,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0" cm="1">
        <f t="array" ref="J300">_xlfn.LET(
  _xlpm.y,$C300,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0" cm="1">
        <f t="array" ref="K300">_xlfn.LET(
  _xlpm.y,$C300,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0" cm="1">
        <f t="array" ref="L300">_xlfn.LET(
  _xlpm.y,$C300,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0" cm="1">
        <f t="array" ref="M300">_xlfn.SWITCH(TRUE,
  $C300&lt;$C$6,  $D$5,
  $C300&lt;$C$7,  $D$6,
  $C300&lt;$C$8,  $D$7,
  $C300&lt;$C$9,  $D$8,
  $C300&lt;$C$10,  $D$9,
  $C300&lt;$C$11,  $D$10,
  $C300&lt;$C$12,  $D$11,
  $C300&lt;$C$13,  $D$12,
  $C300&lt;$C$14,  $D$13,
  $C300&lt;100,  $D$14,
)</f>
        <v>0</v>
      </c>
      <c r="N300">
        <f>主翼翼型1!$R$18*'主翼(平面形結果)'!H300+主翼翼型2!$R$18*'主翼(平面形結果)'!I300+主翼翼型3!$R$18*'主翼(平面形結果)'!J300+主翼翼型4!$R$18*'主翼(平面形結果)'!K300+主翼翼型5!$R$18*'主翼(平面形結果)'!L300</f>
        <v>14.593327618117016</v>
      </c>
      <c r="O300">
        <f t="shared" si="1"/>
        <v>160.52660379928719</v>
      </c>
    </row>
    <row r="301" spans="2:15">
      <c r="B301">
        <f>'主翼(型紙出力)'!B144</f>
        <v>0</v>
      </c>
      <c r="C301">
        <f>'主翼(型紙出力)'!C144</f>
        <v>0</v>
      </c>
      <c r="D301">
        <f>'主翼(型紙出力)'!E144</f>
        <v>0</v>
      </c>
      <c r="E301">
        <f>'主翼(重量推算)'!CE141</f>
        <v>0</v>
      </c>
      <c r="F301" s="244" cm="1">
        <f t="array" ref="F301">_xlfn.SWITCH(TRUE,
  $C301&lt;$C$6,  $AA$4*$C301+$AB$4,
  $C301&lt;$C$7,  $AA$5*$C301+$AB$5,
  $C301&lt;$C$8,  $AA$6*$C301+$AB$6,
  $C301&lt;$C$9, $AA$7*$C301+$AB$7,
  $C301&lt;$C$10, $AA$8*$C301+$AB$8,
  $C301&lt;$C$11, $AA$9*$C301+$AB$9,
  $C301&lt;$C$12,  $AA$10*$C301+$AB$10,
  $C301&lt;$C$13, $AA$11*$C301+$AB$11,
  $AA$12*$C301+$AB$12
)</f>
        <v>1.1000000000000001</v>
      </c>
      <c r="G301" s="244" cm="1">
        <f t="array" ref="G301">_xlfn.SWITCH(TRUE,
  $C301&lt;$C$6,  $AC$4*$C301+$AD$4,
  $C301&lt;$C$7,  $AC$5*$C301+$AD$5,
  $C301&lt;$C$8,  $AC$6*$C301+$AD$6,
  $C301&lt;$C$9, $AC$7*$C301+$AD$7,
  $C301&lt;$C$10, $AC$8*$C301+$AD$8,
  $C301&lt;$C$11, $AC$9*$C301+$AD$9,
  $C301&lt;$C$12,  $AC$10*$C301+$AD$10,
  $C301&lt;$C$13, $AC$11*$C301+$AD$11,
  $AC$12*$C301+$AD$12
)</f>
        <v>3.7199999999999998</v>
      </c>
      <c r="H301" cm="1">
        <f t="array" ref="H301">_xlfn.LET(
  _xlpm.y,$C301,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1" cm="1">
        <f t="array" ref="I301">_xlfn.LET(
  _xlpm.y,$C301,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1" cm="1">
        <f t="array" ref="J301">_xlfn.LET(
  _xlpm.y,$C301,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1" cm="1">
        <f t="array" ref="K301">_xlfn.LET(
  _xlpm.y,$C301,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1" cm="1">
        <f t="array" ref="L301">_xlfn.LET(
  _xlpm.y,$C301,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1" cm="1">
        <f t="array" ref="M301">_xlfn.SWITCH(TRUE,
  $C301&lt;$C$6,  $D$5,
  $C301&lt;$C$7,  $D$6,
  $C301&lt;$C$8,  $D$7,
  $C301&lt;$C$9,  $D$8,
  $C301&lt;$C$10,  $D$9,
  $C301&lt;$C$11,  $D$10,
  $C301&lt;$C$12,  $D$11,
  $C301&lt;$C$13,  $D$12,
  $C301&lt;$C$14,  $D$13,
  $C301&lt;100,  $D$14,
)</f>
        <v>0</v>
      </c>
      <c r="N301">
        <f>主翼翼型1!$R$18*'主翼(平面形結果)'!H301+主翼翼型2!$R$18*'主翼(平面形結果)'!I301+主翼翼型3!$R$18*'主翼(平面形結果)'!J301+主翼翼型4!$R$18*'主翼(平面形結果)'!K301+主翼翼型5!$R$18*'主翼(平面形結果)'!L301</f>
        <v>14.593327618117016</v>
      </c>
      <c r="O301">
        <f t="shared" ref="O301:O336" si="2">F301*N301/100</f>
        <v>0.16052660379928718</v>
      </c>
    </row>
    <row r="302" spans="2:15">
      <c r="B302">
        <f>'主翼(型紙出力)'!B145</f>
        <v>0</v>
      </c>
      <c r="C302">
        <f>'主翼(型紙出力)'!C145</f>
        <v>0</v>
      </c>
      <c r="D302">
        <f>'主翼(型紙出力)'!E145</f>
        <v>0</v>
      </c>
      <c r="E302">
        <f>'主翼(重量推算)'!CE142</f>
        <v>0</v>
      </c>
      <c r="F302" s="244" cm="1">
        <f t="array" ref="F302">_xlfn.SWITCH(TRUE,
  $C302&lt;$C$6,  $AA$4*$C302+$AB$4,
  $C302&lt;$C$7,  $AA$5*$C302+$AB$5,
  $C302&lt;$C$8,  $AA$6*$C302+$AB$6,
  $C302&lt;$C$9, $AA$7*$C302+$AB$7,
  $C302&lt;$C$10, $AA$8*$C302+$AB$8,
  $C302&lt;$C$11, $AA$9*$C302+$AB$9,
  $C302&lt;$C$12,  $AA$10*$C302+$AB$10,
  $C302&lt;$C$13, $AA$11*$C302+$AB$11,
  $AA$12*$C302+$AB$12
)</f>
        <v>1.1000000000000001</v>
      </c>
      <c r="G302" s="244" cm="1">
        <f t="array" ref="G302">_xlfn.SWITCH(TRUE,
  $C302&lt;$C$6,  $AC$4*$C302+$AD$4,
  $C302&lt;$C$7,  $AC$5*$C302+$AD$5,
  $C302&lt;$C$8,  $AC$6*$C302+$AD$6,
  $C302&lt;$C$9, $AC$7*$C302+$AD$7,
  $C302&lt;$C$10, $AC$8*$C302+$AD$8,
  $C302&lt;$C$11, $AC$9*$C302+$AD$9,
  $C302&lt;$C$12,  $AC$10*$C302+$AD$10,
  $C302&lt;$C$13, $AC$11*$C302+$AD$11,
  $AC$12*$C302+$AD$12
)</f>
        <v>3.7199999999999998</v>
      </c>
      <c r="H302" cm="1">
        <f t="array" ref="H302">_xlfn.LET(
  _xlpm.y,$C302,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2" cm="1">
        <f t="array" ref="I302">_xlfn.LET(
  _xlpm.y,$C302,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2" cm="1">
        <f t="array" ref="J302">_xlfn.LET(
  _xlpm.y,$C302,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2" cm="1">
        <f t="array" ref="K302">_xlfn.LET(
  _xlpm.y,$C302,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2" cm="1">
        <f t="array" ref="L302">_xlfn.LET(
  _xlpm.y,$C302,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2" cm="1">
        <f t="array" ref="M302">_xlfn.SWITCH(TRUE,
  $C302&lt;$C$6,  $D$5,
  $C302&lt;$C$7,  $D$6,
  $C302&lt;$C$8,  $D$7,
  $C302&lt;$C$9,  $D$8,
  $C302&lt;$C$10,  $D$9,
  $C302&lt;$C$11,  $D$10,
  $C302&lt;$C$12,  $D$11,
  $C302&lt;$C$13,  $D$12,
  $C302&lt;$C$14,  $D$13,
  $C302&lt;100,  $D$14,
)</f>
        <v>0</v>
      </c>
      <c r="N302">
        <f>主翼翼型1!$R$18*'主翼(平面形結果)'!H302+主翼翼型2!$R$18*'主翼(平面形結果)'!I302+主翼翼型3!$R$18*'主翼(平面形結果)'!J302+主翼翼型4!$R$18*'主翼(平面形結果)'!K302+主翼翼型5!$R$18*'主翼(平面形結果)'!L302</f>
        <v>14.593327618117016</v>
      </c>
      <c r="O302">
        <f t="shared" si="2"/>
        <v>0.16052660379928718</v>
      </c>
    </row>
    <row r="303" spans="2:15">
      <c r="B303">
        <f>'主翼(型紙出力)'!B146</f>
        <v>0</v>
      </c>
      <c r="C303">
        <f>'主翼(型紙出力)'!C146</f>
        <v>0</v>
      </c>
      <c r="D303">
        <f>'主翼(型紙出力)'!E146</f>
        <v>0</v>
      </c>
      <c r="E303">
        <f>'主翼(重量推算)'!CE143</f>
        <v>0</v>
      </c>
      <c r="G303" s="244" cm="1">
        <f t="array" ref="G303">_xlfn.SWITCH(TRUE,
  $C303&lt;$C$6,  $AC$4*$C303+$AD$4,
  $C303&lt;$C$7,  $AC$5*$C303+$AD$5,
  $C303&lt;$C$8,  $AC$6*$C303+$AD$6,
  $C303&lt;$C$9, $AC$7*$C303+$AD$7,
  $C303&lt;$C$10, $AC$8*$C303+$AD$8,
  $C303&lt;$C$11, $AC$9*$C303+$AD$9,
  $C303&lt;$C$12,  $AC$10*$C303+$AD$10,
  $C303&lt;$C$13, $AC$11*$C303+$AD$11,
  $AC$12*$C303+$AD$12
)</f>
        <v>3.7199999999999998</v>
      </c>
      <c r="H303" cm="1">
        <f t="array" ref="H303">_xlfn.LET(
  _xlpm.y,$C303,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3" cm="1">
        <f t="array" ref="I303">_xlfn.LET(
  _xlpm.y,$C303,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3" cm="1">
        <f t="array" ref="J303">_xlfn.LET(
  _xlpm.y,$C303,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3" cm="1">
        <f t="array" ref="K303">_xlfn.LET(
  _xlpm.y,$C303,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3" cm="1">
        <f t="array" ref="L303">_xlfn.LET(
  _xlpm.y,$C303,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3" cm="1">
        <f t="array" ref="M303">_xlfn.SWITCH(TRUE,
  $C303&lt;$C$6,  $D$5,
  $C303&lt;$C$7,  $D$6,
  $C303&lt;$C$8,  $D$7,
  $C303&lt;$C$9,  $D$8,
  $C303&lt;$C$10,  $D$9,
  $C303&lt;$C$11,  $D$10,
  $C303&lt;$C$12,  $D$11,
  $C303&lt;$C$13,  $D$12,
  $C303&lt;$C$14,  $D$13,
  $C303&lt;100,  $D$14,
)</f>
        <v>0</v>
      </c>
      <c r="N303">
        <f>主翼翼型1!$R$18*'主翼(平面形結果)'!H303+主翼翼型2!$R$18*'主翼(平面形結果)'!I303+主翼翼型3!$R$18*'主翼(平面形結果)'!J303+主翼翼型4!$R$18*'主翼(平面形結果)'!K303+主翼翼型5!$R$18*'主翼(平面形結果)'!L303</f>
        <v>14.593327618117016</v>
      </c>
      <c r="O303">
        <f t="shared" si="2"/>
        <v>0</v>
      </c>
    </row>
    <row r="304" spans="2:15">
      <c r="B304">
        <f>'主翼(型紙出力)'!B147</f>
        <v>0</v>
      </c>
      <c r="C304">
        <f>'主翼(型紙出力)'!C147</f>
        <v>0</v>
      </c>
      <c r="D304">
        <f>'主翼(型紙出力)'!E147</f>
        <v>0</v>
      </c>
      <c r="E304">
        <f>'主翼(重量推算)'!CE144</f>
        <v>0</v>
      </c>
      <c r="G304" s="244" cm="1">
        <f t="array" ref="G304">_xlfn.SWITCH(TRUE,
  $C304&lt;$C$6,  $AC$4*$C304+$AD$4,
  $C304&lt;$C$7,  $AC$5*$C304+$AD$5,
  $C304&lt;$C$8,  $AC$6*$C304+$AD$6,
  $C304&lt;$C$9, $AC$7*$C304+$AD$7,
  $C304&lt;$C$10, $AC$8*$C304+$AD$8,
  $C304&lt;$C$11, $AC$9*$C304+$AD$9,
  $C304&lt;$C$12,  $AC$10*$C304+$AD$10,
  $C304&lt;$C$13, $AC$11*$C304+$AD$11,
  $AC$12*$C304+$AD$12
)</f>
        <v>3.7199999999999998</v>
      </c>
      <c r="H304" cm="1">
        <f t="array" ref="H304">_xlfn.LET(
  _xlpm.y,$C304,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4" cm="1">
        <f t="array" ref="I304">_xlfn.LET(
  _xlpm.y,$C304,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4" cm="1">
        <f t="array" ref="J304">_xlfn.LET(
  _xlpm.y,$C304,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4" cm="1">
        <f t="array" ref="K304">_xlfn.LET(
  _xlpm.y,$C304,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4" cm="1">
        <f t="array" ref="L304">_xlfn.LET(
  _xlpm.y,$C304,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4" cm="1">
        <f t="array" ref="M304">_xlfn.SWITCH(TRUE,
  $C304&lt;$C$6,  $D$5,
  $C304&lt;$C$7,  $D$6,
  $C304&lt;$C$8,  $D$7,
  $C304&lt;$C$9,  $D$8,
  $C304&lt;$C$10,  $D$9,
  $C304&lt;$C$11,  $D$10,
  $C304&lt;$C$12,  $D$11,
  $C304&lt;$C$13,  $D$12,
  $C304&lt;$C$14,  $D$13,
  $C304&lt;100,  $D$14,
)</f>
        <v>0</v>
      </c>
      <c r="N304">
        <f>主翼翼型1!$R$18*'主翼(平面形結果)'!H304+主翼翼型2!$R$18*'主翼(平面形結果)'!I304+主翼翼型3!$R$18*'主翼(平面形結果)'!J304+主翼翼型4!$R$18*'主翼(平面形結果)'!K304+主翼翼型5!$R$18*'主翼(平面形結果)'!L304</f>
        <v>14.593327618117016</v>
      </c>
      <c r="O304">
        <f t="shared" si="2"/>
        <v>0</v>
      </c>
    </row>
    <row r="305" spans="2:15">
      <c r="B305">
        <f>'主翼(型紙出力)'!B148</f>
        <v>0</v>
      </c>
      <c r="C305">
        <f>'主翼(型紙出力)'!C148</f>
        <v>0</v>
      </c>
      <c r="D305">
        <f>'主翼(型紙出力)'!E148</f>
        <v>0</v>
      </c>
      <c r="E305">
        <f>'主翼(重量推算)'!CE145</f>
        <v>0</v>
      </c>
      <c r="G305" s="244" cm="1">
        <f t="array" ref="G305">_xlfn.SWITCH(TRUE,
  $C305&lt;$C$6,  $AC$4*$C305+$AD$4,
  $C305&lt;$C$7,  $AC$5*$C305+$AD$5,
  $C305&lt;$C$8,  $AC$6*$C305+$AD$6,
  $C305&lt;$C$9, $AC$7*$C305+$AD$7,
  $C305&lt;$C$10, $AC$8*$C305+$AD$8,
  $C305&lt;$C$11, $AC$9*$C305+$AD$9,
  $C305&lt;$C$12,  $AC$10*$C305+$AD$10,
  $C305&lt;$C$13, $AC$11*$C305+$AD$11,
  $AC$12*$C305+$AD$12
)</f>
        <v>3.7199999999999998</v>
      </c>
      <c r="H305" cm="1">
        <f t="array" ref="H305">_xlfn.LET(
  _xlpm.y,$C305,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5" cm="1">
        <f t="array" ref="I305">_xlfn.LET(
  _xlpm.y,$C305,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5" cm="1">
        <f t="array" ref="J305">_xlfn.LET(
  _xlpm.y,$C305,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5" cm="1">
        <f t="array" ref="K305">_xlfn.LET(
  _xlpm.y,$C305,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5" cm="1">
        <f t="array" ref="L305">_xlfn.LET(
  _xlpm.y,$C305,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5" cm="1">
        <f t="array" ref="M305">_xlfn.SWITCH(TRUE,
  $C305&lt;$C$6,  $D$5,
  $C305&lt;$C$7,  $D$6,
  $C305&lt;$C$8,  $D$7,
  $C305&lt;$C$9,  $D$8,
  $C305&lt;$C$10,  $D$9,
  $C305&lt;$C$11,  $D$10,
  $C305&lt;$C$12,  $D$11,
  $C305&lt;$C$13,  $D$12,
  $C305&lt;$C$14,  $D$13,
  $C305&lt;100,  $D$14,
)</f>
        <v>0</v>
      </c>
      <c r="N305">
        <f>主翼翼型1!$R$18*'主翼(平面形結果)'!H305+主翼翼型2!$R$18*'主翼(平面形結果)'!I305+主翼翼型3!$R$18*'主翼(平面形結果)'!J305+主翼翼型4!$R$18*'主翼(平面形結果)'!K305+主翼翼型5!$R$18*'主翼(平面形結果)'!L305</f>
        <v>14.593327618117016</v>
      </c>
      <c r="O305">
        <f t="shared" si="2"/>
        <v>0</v>
      </c>
    </row>
    <row r="306" spans="2:15">
      <c r="B306">
        <f>'主翼(型紙出力)'!B149</f>
        <v>0</v>
      </c>
      <c r="C306">
        <f>'主翼(型紙出力)'!C149</f>
        <v>0</v>
      </c>
      <c r="D306">
        <f>'主翼(型紙出力)'!E149</f>
        <v>0</v>
      </c>
      <c r="E306">
        <f>'主翼(重量推算)'!CE146</f>
        <v>0</v>
      </c>
      <c r="G306" s="244" cm="1">
        <f t="array" ref="G306">_xlfn.SWITCH(TRUE,
  $C306&lt;$C$6,  $AC$4*$C306+$AD$4,
  $C306&lt;$C$7,  $AC$5*$C306+$AD$5,
  $C306&lt;$C$8,  $AC$6*$C306+$AD$6,
  $C306&lt;$C$9, $AC$7*$C306+$AD$7,
  $C306&lt;$C$10, $AC$8*$C306+$AD$8,
  $C306&lt;$C$11, $AC$9*$C306+$AD$9,
  $C306&lt;$C$12,  $AC$10*$C306+$AD$10,
  $C306&lt;$C$13, $AC$11*$C306+$AD$11,
  $AC$12*$C306+$AD$12
)</f>
        <v>3.7199999999999998</v>
      </c>
      <c r="H306" cm="1">
        <f t="array" ref="H306">_xlfn.LET(
  _xlpm.y,$C306,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6" cm="1">
        <f t="array" ref="I306">_xlfn.LET(
  _xlpm.y,$C306,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6" cm="1">
        <f t="array" ref="J306">_xlfn.LET(
  _xlpm.y,$C306,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6" cm="1">
        <f t="array" ref="K306">_xlfn.LET(
  _xlpm.y,$C306,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6" cm="1">
        <f t="array" ref="L306">_xlfn.LET(
  _xlpm.y,$C306,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6" cm="1">
        <f t="array" ref="M306">_xlfn.SWITCH(TRUE,
  $C306&lt;$C$6,  $D$5,
  $C306&lt;$C$7,  $D$6,
  $C306&lt;$C$8,  $D$7,
  $C306&lt;$C$9,  $D$8,
  $C306&lt;$C$10,  $D$9,
  $C306&lt;$C$11,  $D$10,
  $C306&lt;$C$12,  $D$11,
  $C306&lt;$C$13,  $D$12,
  $C306&lt;$C$14,  $D$13,
  $C306&lt;100,  $D$14,
)</f>
        <v>0</v>
      </c>
      <c r="N306">
        <f>主翼翼型1!$R$18*'主翼(平面形結果)'!H306+主翼翼型2!$R$18*'主翼(平面形結果)'!I306+主翼翼型3!$R$18*'主翼(平面形結果)'!J306+主翼翼型4!$R$18*'主翼(平面形結果)'!K306+主翼翼型5!$R$18*'主翼(平面形結果)'!L306</f>
        <v>14.593327618117016</v>
      </c>
      <c r="O306">
        <f t="shared" si="2"/>
        <v>0</v>
      </c>
    </row>
    <row r="307" spans="2:15">
      <c r="B307">
        <f>'主翼(型紙出力)'!B150</f>
        <v>0</v>
      </c>
      <c r="C307">
        <f>'主翼(型紙出力)'!C150</f>
        <v>0</v>
      </c>
      <c r="D307">
        <f>'主翼(型紙出力)'!E150</f>
        <v>0</v>
      </c>
      <c r="E307">
        <f>'主翼(重量推算)'!CE147</f>
        <v>0</v>
      </c>
      <c r="G307" s="244" cm="1">
        <f t="array" ref="G307">_xlfn.SWITCH(TRUE,
  $C307&lt;$C$6,  $AC$4*$C307+$AD$4,
  $C307&lt;$C$7,  $AC$5*$C307+$AD$5,
  $C307&lt;$C$8,  $AC$6*$C307+$AD$6,
  $C307&lt;$C$9, $AC$7*$C307+$AD$7,
  $C307&lt;$C$10, $AC$8*$C307+$AD$8,
  $C307&lt;$C$11, $AC$9*$C307+$AD$9,
  $C307&lt;$C$12,  $AC$10*$C307+$AD$10,
  $C307&lt;$C$13, $AC$11*$C307+$AD$11,
  $AC$12*$C307+$AD$12
)</f>
        <v>3.7199999999999998</v>
      </c>
      <c r="H307" cm="1">
        <f t="array" ref="H307">_xlfn.LET(
  _xlpm.y,$C307,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7" cm="1">
        <f t="array" ref="I307">_xlfn.LET(
  _xlpm.y,$C307,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7" cm="1">
        <f t="array" ref="J307">_xlfn.LET(
  _xlpm.y,$C307,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7" cm="1">
        <f t="array" ref="K307">_xlfn.LET(
  _xlpm.y,$C307,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7" cm="1">
        <f t="array" ref="L307">_xlfn.LET(
  _xlpm.y,$C307,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7" cm="1">
        <f t="array" ref="M307">_xlfn.SWITCH(TRUE,
  $C307&lt;$C$6,  $D$5,
  $C307&lt;$C$7,  $D$6,
  $C307&lt;$C$8,  $D$7,
  $C307&lt;$C$9,  $D$8,
  $C307&lt;$C$10,  $D$9,
  $C307&lt;$C$11,  $D$10,
  $C307&lt;$C$12,  $D$11,
  $C307&lt;$C$13,  $D$12,
  $C307&lt;$C$14,  $D$13,
  $C307&lt;100,  $D$14,
)</f>
        <v>0</v>
      </c>
      <c r="N307">
        <f>主翼翼型1!$R$18*'主翼(平面形結果)'!H307+主翼翼型2!$R$18*'主翼(平面形結果)'!I307+主翼翼型3!$R$18*'主翼(平面形結果)'!J307+主翼翼型4!$R$18*'主翼(平面形結果)'!K307+主翼翼型5!$R$18*'主翼(平面形結果)'!L307</f>
        <v>14.593327618117016</v>
      </c>
      <c r="O307">
        <f t="shared" si="2"/>
        <v>0</v>
      </c>
    </row>
    <row r="308" spans="2:15">
      <c r="B308">
        <f>'主翼(型紙出力)'!B151</f>
        <v>0</v>
      </c>
      <c r="C308">
        <f>'主翼(型紙出力)'!C151</f>
        <v>0</v>
      </c>
      <c r="D308">
        <f>'主翼(型紙出力)'!E151</f>
        <v>0</v>
      </c>
      <c r="E308">
        <f>'主翼(重量推算)'!CE148</f>
        <v>0</v>
      </c>
      <c r="G308" s="244" cm="1">
        <f t="array" ref="G308">_xlfn.SWITCH(TRUE,
  $C308&lt;$C$6,  $AC$4*$C308+$AD$4,
  $C308&lt;$C$7,  $AC$5*$C308+$AD$5,
  $C308&lt;$C$8,  $AC$6*$C308+$AD$6,
  $C308&lt;$C$9, $AC$7*$C308+$AD$7,
  $C308&lt;$C$10, $AC$8*$C308+$AD$8,
  $C308&lt;$C$11, $AC$9*$C308+$AD$9,
  $C308&lt;$C$12,  $AC$10*$C308+$AD$10,
  $C308&lt;$C$13, $AC$11*$C308+$AD$11,
  $AC$12*$C308+$AD$12
)</f>
        <v>3.7199999999999998</v>
      </c>
      <c r="H308" cm="1">
        <f t="array" ref="H308">_xlfn.LET(
  _xlpm.y,$C308,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8" cm="1">
        <f t="array" ref="I308">_xlfn.LET(
  _xlpm.y,$C308,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8" cm="1">
        <f t="array" ref="J308">_xlfn.LET(
  _xlpm.y,$C308,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8" cm="1">
        <f t="array" ref="K308">_xlfn.LET(
  _xlpm.y,$C308,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8" cm="1">
        <f t="array" ref="L308">_xlfn.LET(
  _xlpm.y,$C308,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8" cm="1">
        <f t="array" ref="M308">_xlfn.SWITCH(TRUE,
  $C308&lt;$C$6,  $D$5,
  $C308&lt;$C$7,  $D$6,
  $C308&lt;$C$8,  $D$7,
  $C308&lt;$C$9,  $D$8,
  $C308&lt;$C$10,  $D$9,
  $C308&lt;$C$11,  $D$10,
  $C308&lt;$C$12,  $D$11,
  $C308&lt;$C$13,  $D$12,
  $C308&lt;$C$14,  $D$13,
  $C308&lt;100,  $D$14,
)</f>
        <v>0</v>
      </c>
      <c r="N308">
        <f>主翼翼型1!$R$18*'主翼(平面形結果)'!H308+主翼翼型2!$R$18*'主翼(平面形結果)'!I308+主翼翼型3!$R$18*'主翼(平面形結果)'!J308+主翼翼型4!$R$18*'主翼(平面形結果)'!K308+主翼翼型5!$R$18*'主翼(平面形結果)'!L308</f>
        <v>14.593327618117016</v>
      </c>
      <c r="O308">
        <f t="shared" si="2"/>
        <v>0</v>
      </c>
    </row>
    <row r="309" spans="2:15">
      <c r="B309">
        <f>'主翼(型紙出力)'!B152</f>
        <v>0</v>
      </c>
      <c r="C309">
        <f>'主翼(型紙出力)'!C152</f>
        <v>0</v>
      </c>
      <c r="D309">
        <f>'主翼(型紙出力)'!E152</f>
        <v>0</v>
      </c>
      <c r="E309">
        <f>'主翼(重量推算)'!CE149</f>
        <v>0</v>
      </c>
      <c r="G309" s="244" cm="1">
        <f t="array" ref="G309">_xlfn.SWITCH(TRUE,
  $C309&lt;$C$6,  $AC$4*$C309+$AD$4,
  $C309&lt;$C$7,  $AC$5*$C309+$AD$5,
  $C309&lt;$C$8,  $AC$6*$C309+$AD$6,
  $C309&lt;$C$9, $AC$7*$C309+$AD$7,
  $C309&lt;$C$10, $AC$8*$C309+$AD$8,
  $C309&lt;$C$11, $AC$9*$C309+$AD$9,
  $C309&lt;$C$12,  $AC$10*$C309+$AD$10,
  $C309&lt;$C$13, $AC$11*$C309+$AD$11,
  $AC$12*$C309+$AD$12
)</f>
        <v>3.7199999999999998</v>
      </c>
      <c r="H309" cm="1">
        <f t="array" ref="H309">_xlfn.LET(
  _xlpm.y,$C309,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9" cm="1">
        <f t="array" ref="I309">_xlfn.LET(
  _xlpm.y,$C309,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9" cm="1">
        <f t="array" ref="J309">_xlfn.LET(
  _xlpm.y,$C309,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9" cm="1">
        <f t="array" ref="K309">_xlfn.LET(
  _xlpm.y,$C309,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9" cm="1">
        <f t="array" ref="L309">_xlfn.LET(
  _xlpm.y,$C309,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9" cm="1">
        <f t="array" ref="M309">_xlfn.SWITCH(TRUE,
  $C309&lt;$C$6,  $D$5,
  $C309&lt;$C$7,  $D$6,
  $C309&lt;$C$8,  $D$7,
  $C309&lt;$C$9,  $D$8,
  $C309&lt;$C$10,  $D$9,
  $C309&lt;$C$11,  $D$10,
  $C309&lt;$C$12,  $D$11,
  $C309&lt;$C$13,  $D$12,
  $C309&lt;$C$14,  $D$13,
  $C309&lt;100,  $D$14,
)</f>
        <v>0</v>
      </c>
      <c r="N309">
        <f>主翼翼型1!$R$18*'主翼(平面形結果)'!H309+主翼翼型2!$R$18*'主翼(平面形結果)'!I309+主翼翼型3!$R$18*'主翼(平面形結果)'!J309+主翼翼型4!$R$18*'主翼(平面形結果)'!K309+主翼翼型5!$R$18*'主翼(平面形結果)'!L309</f>
        <v>14.593327618117016</v>
      </c>
      <c r="O309">
        <f t="shared" si="2"/>
        <v>0</v>
      </c>
    </row>
    <row r="310" spans="2:15">
      <c r="B310">
        <f>'主翼(型紙出力)'!B153</f>
        <v>0</v>
      </c>
      <c r="C310">
        <f>'主翼(型紙出力)'!C153</f>
        <v>0</v>
      </c>
      <c r="D310">
        <f>'主翼(型紙出力)'!E153</f>
        <v>0</v>
      </c>
      <c r="E310">
        <f>'主翼(重量推算)'!CE150</f>
        <v>0</v>
      </c>
      <c r="G310" s="244" cm="1">
        <f t="array" ref="G310">_xlfn.SWITCH(TRUE,
  $C310&lt;$C$6,  $AC$4*$C310+$AD$4,
  $C310&lt;$C$7,  $AC$5*$C310+$AD$5,
  $C310&lt;$C$8,  $AC$6*$C310+$AD$6,
  $C310&lt;$C$9, $AC$7*$C310+$AD$7,
  $C310&lt;$C$10, $AC$8*$C310+$AD$8,
  $C310&lt;$C$11, $AC$9*$C310+$AD$9,
  $C310&lt;$C$12,  $AC$10*$C310+$AD$10,
  $C310&lt;$C$13, $AC$11*$C310+$AD$11,
  $AC$12*$C310+$AD$12
)</f>
        <v>3.7199999999999998</v>
      </c>
      <c r="H310" cm="1">
        <f t="array" ref="H310">_xlfn.LET(
  _xlpm.y,$C310,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0" cm="1">
        <f t="array" ref="I310">_xlfn.LET(
  _xlpm.y,$C310,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0" cm="1">
        <f t="array" ref="J310">_xlfn.LET(
  _xlpm.y,$C310,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0" cm="1">
        <f t="array" ref="K310">_xlfn.LET(
  _xlpm.y,$C310,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0" cm="1">
        <f t="array" ref="L310">_xlfn.LET(
  _xlpm.y,$C310,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0" cm="1">
        <f t="array" ref="M310">_xlfn.SWITCH(TRUE,
  $C310&lt;$C$6,  $D$5,
  $C310&lt;$C$7,  $D$6,
  $C310&lt;$C$8,  $D$7,
  $C310&lt;$C$9,  $D$8,
  $C310&lt;$C$10,  $D$9,
  $C310&lt;$C$11,  $D$10,
  $C310&lt;$C$12,  $D$11,
  $C310&lt;$C$13,  $D$12,
  $C310&lt;$C$14,  $D$13,
  $C310&lt;100,  $D$14,
)</f>
        <v>0</v>
      </c>
      <c r="N310">
        <f>主翼翼型1!$R$18*'主翼(平面形結果)'!H310+主翼翼型2!$R$18*'主翼(平面形結果)'!I310+主翼翼型3!$R$18*'主翼(平面形結果)'!J310+主翼翼型4!$R$18*'主翼(平面形結果)'!K310+主翼翼型5!$R$18*'主翼(平面形結果)'!L310</f>
        <v>14.593327618117016</v>
      </c>
      <c r="O310">
        <f t="shared" si="2"/>
        <v>0</v>
      </c>
    </row>
    <row r="311" spans="2:15">
      <c r="B311">
        <f>'主翼(型紙出力)'!B154</f>
        <v>0</v>
      </c>
      <c r="C311">
        <f>'主翼(型紙出力)'!C154</f>
        <v>0</v>
      </c>
      <c r="D311">
        <f>'主翼(型紙出力)'!E154</f>
        <v>0</v>
      </c>
      <c r="E311">
        <f>'主翼(重量推算)'!CE151</f>
        <v>0</v>
      </c>
      <c r="G311" s="244" cm="1">
        <f t="array" ref="G311">_xlfn.SWITCH(TRUE,
  $C311&lt;$C$6,  $AC$4*$C311+$AD$4,
  $C311&lt;$C$7,  $AC$5*$C311+$AD$5,
  $C311&lt;$C$8,  $AC$6*$C311+$AD$6,
  $C311&lt;$C$9, $AC$7*$C311+$AD$7,
  $C311&lt;$C$10, $AC$8*$C311+$AD$8,
  $C311&lt;$C$11, $AC$9*$C311+$AD$9,
  $C311&lt;$C$12,  $AC$10*$C311+$AD$10,
  $C311&lt;$C$13, $AC$11*$C311+$AD$11,
  $AC$12*$C311+$AD$12
)</f>
        <v>3.7199999999999998</v>
      </c>
      <c r="H311" cm="1">
        <f t="array" ref="H311">_xlfn.LET(
  _xlpm.y,$C311,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1" cm="1">
        <f t="array" ref="I311">_xlfn.LET(
  _xlpm.y,$C311,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1" cm="1">
        <f t="array" ref="J311">_xlfn.LET(
  _xlpm.y,$C311,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1" cm="1">
        <f t="array" ref="K311">_xlfn.LET(
  _xlpm.y,$C311,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1" cm="1">
        <f t="array" ref="L311">_xlfn.LET(
  _xlpm.y,$C311,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1" cm="1">
        <f t="array" ref="M311">_xlfn.SWITCH(TRUE,
  $C311&lt;$C$6,  $D$5,
  $C311&lt;$C$7,  $D$6,
  $C311&lt;$C$8,  $D$7,
  $C311&lt;$C$9,  $D$8,
  $C311&lt;$C$10,  $D$9,
  $C311&lt;$C$11,  $D$10,
  $C311&lt;$C$12,  $D$11,
  $C311&lt;$C$13,  $D$12,
  $C311&lt;$C$14,  $D$13,
  $C311&lt;100,  $D$14,
)</f>
        <v>0</v>
      </c>
      <c r="N311">
        <f>主翼翼型1!$R$18*'主翼(平面形結果)'!H311+主翼翼型2!$R$18*'主翼(平面形結果)'!I311+主翼翼型3!$R$18*'主翼(平面形結果)'!J311+主翼翼型4!$R$18*'主翼(平面形結果)'!K311+主翼翼型5!$R$18*'主翼(平面形結果)'!L311</f>
        <v>14.593327618117016</v>
      </c>
      <c r="O311">
        <f t="shared" si="2"/>
        <v>0</v>
      </c>
    </row>
    <row r="312" spans="2:15">
      <c r="B312">
        <f>'主翼(型紙出力)'!B155</f>
        <v>0</v>
      </c>
      <c r="C312">
        <f>'主翼(型紙出力)'!C155</f>
        <v>0</v>
      </c>
      <c r="D312">
        <f>'主翼(型紙出力)'!E155</f>
        <v>0</v>
      </c>
      <c r="E312">
        <f>'主翼(重量推算)'!CE152</f>
        <v>0</v>
      </c>
      <c r="G312" s="244" cm="1">
        <f t="array" ref="G312">_xlfn.SWITCH(TRUE,
  $C312&lt;$C$6,  $AC$4*$C312+$AD$4,
  $C312&lt;$C$7,  $AC$5*$C312+$AD$5,
  $C312&lt;$C$8,  $AC$6*$C312+$AD$6,
  $C312&lt;$C$9, $AC$7*$C312+$AD$7,
  $C312&lt;$C$10, $AC$8*$C312+$AD$8,
  $C312&lt;$C$11, $AC$9*$C312+$AD$9,
  $C312&lt;$C$12,  $AC$10*$C312+$AD$10,
  $C312&lt;$C$13, $AC$11*$C312+$AD$11,
  $AC$12*$C312+$AD$12
)</f>
        <v>3.7199999999999998</v>
      </c>
      <c r="H312" cm="1">
        <f t="array" ref="H312">_xlfn.LET(
  _xlpm.y,$C312,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2" cm="1">
        <f t="array" ref="I312">_xlfn.LET(
  _xlpm.y,$C312,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2" cm="1">
        <f t="array" ref="J312">_xlfn.LET(
  _xlpm.y,$C312,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2" cm="1">
        <f t="array" ref="K312">_xlfn.LET(
  _xlpm.y,$C312,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2" cm="1">
        <f t="array" ref="L312">_xlfn.LET(
  _xlpm.y,$C312,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2" cm="1">
        <f t="array" ref="M312">_xlfn.SWITCH(TRUE,
  $C312&lt;$C$6,  $D$5,
  $C312&lt;$C$7,  $D$6,
  $C312&lt;$C$8,  $D$7,
  $C312&lt;$C$9,  $D$8,
  $C312&lt;$C$10,  $D$9,
  $C312&lt;$C$11,  $D$10,
  $C312&lt;$C$12,  $D$11,
  $C312&lt;$C$13,  $D$12,
  $C312&lt;$C$14,  $D$13,
  $C312&lt;100,  $D$14,
)</f>
        <v>0</v>
      </c>
      <c r="N312">
        <f>主翼翼型1!$R$18*'主翼(平面形結果)'!H312+主翼翼型2!$R$18*'主翼(平面形結果)'!I312+主翼翼型3!$R$18*'主翼(平面形結果)'!J312+主翼翼型4!$R$18*'主翼(平面形結果)'!K312+主翼翼型5!$R$18*'主翼(平面形結果)'!L312</f>
        <v>14.593327618117016</v>
      </c>
      <c r="O312">
        <f t="shared" si="2"/>
        <v>0</v>
      </c>
    </row>
    <row r="313" spans="2:15">
      <c r="B313">
        <f>'主翼(型紙出力)'!B156</f>
        <v>0</v>
      </c>
      <c r="C313">
        <f>'主翼(型紙出力)'!C156</f>
        <v>0</v>
      </c>
      <c r="D313">
        <f>'主翼(型紙出力)'!E156</f>
        <v>0</v>
      </c>
      <c r="E313">
        <f>'主翼(重量推算)'!CE153</f>
        <v>0</v>
      </c>
      <c r="G313" s="244" cm="1">
        <f t="array" ref="G313">_xlfn.SWITCH(TRUE,
  $C313&lt;$C$6,  $AC$4*$C313+$AD$4,
  $C313&lt;$C$7,  $AC$5*$C313+$AD$5,
  $C313&lt;$C$8,  $AC$6*$C313+$AD$6,
  $C313&lt;$C$9, $AC$7*$C313+$AD$7,
  $C313&lt;$C$10, $AC$8*$C313+$AD$8,
  $C313&lt;$C$11, $AC$9*$C313+$AD$9,
  $C313&lt;$C$12,  $AC$10*$C313+$AD$10,
  $C313&lt;$C$13, $AC$11*$C313+$AD$11,
  $AC$12*$C313+$AD$12
)</f>
        <v>3.7199999999999998</v>
      </c>
      <c r="H313" cm="1">
        <f t="array" ref="H313">_xlfn.LET(
  _xlpm.y,$C313,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3" cm="1">
        <f t="array" ref="I313">_xlfn.LET(
  _xlpm.y,$C313,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3" cm="1">
        <f t="array" ref="J313">_xlfn.LET(
  _xlpm.y,$C313,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3" cm="1">
        <f t="array" ref="K313">_xlfn.LET(
  _xlpm.y,$C313,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3" cm="1">
        <f t="array" ref="L313">_xlfn.LET(
  _xlpm.y,$C313,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3" cm="1">
        <f t="array" ref="M313">_xlfn.SWITCH(TRUE,
  $C313&lt;$C$6,  $D$5,
  $C313&lt;$C$7,  $D$6,
  $C313&lt;$C$8,  $D$7,
  $C313&lt;$C$9,  $D$8,
  $C313&lt;$C$10,  $D$9,
  $C313&lt;$C$11,  $D$10,
  $C313&lt;$C$12,  $D$11,
  $C313&lt;$C$13,  $D$12,
  $C313&lt;$C$14,  $D$13,
  $C313&lt;100,  $D$14,
)</f>
        <v>0</v>
      </c>
      <c r="N313">
        <f>主翼翼型1!$R$18*'主翼(平面形結果)'!H313+主翼翼型2!$R$18*'主翼(平面形結果)'!I313+主翼翼型3!$R$18*'主翼(平面形結果)'!J313+主翼翼型4!$R$18*'主翼(平面形結果)'!K313+主翼翼型5!$R$18*'主翼(平面形結果)'!L313</f>
        <v>14.593327618117016</v>
      </c>
      <c r="O313">
        <f t="shared" si="2"/>
        <v>0</v>
      </c>
    </row>
    <row r="314" spans="2:15">
      <c r="B314">
        <f>'主翼(型紙出力)'!B157</f>
        <v>0</v>
      </c>
      <c r="C314">
        <f>'主翼(型紙出力)'!C157</f>
        <v>0</v>
      </c>
      <c r="D314">
        <f>'主翼(型紙出力)'!E157</f>
        <v>0</v>
      </c>
      <c r="E314">
        <f>'主翼(重量推算)'!CE154</f>
        <v>0</v>
      </c>
      <c r="H314" cm="1">
        <f t="array" ref="H314">_xlfn.LET(
  _xlpm.y,$C314,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4" cm="1">
        <f t="array" ref="I314">_xlfn.LET(
  _xlpm.y,$C314,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4" cm="1">
        <f t="array" ref="J314">_xlfn.LET(
  _xlpm.y,$C314,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4" cm="1">
        <f t="array" ref="K314">_xlfn.LET(
  _xlpm.y,$C314,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4" cm="1">
        <f t="array" ref="L314">_xlfn.LET(
  _xlpm.y,$C314,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4" cm="1">
        <f t="array" ref="M314">_xlfn.SWITCH(TRUE,
  $C314&lt;$C$6,  $D$5,
  $C314&lt;$C$7,  $D$6,
  $C314&lt;$C$8,  $D$7,
  $C314&lt;$C$9,  $D$8,
  $C314&lt;$C$10,  $D$9,
  $C314&lt;$C$11,  $D$10,
  $C314&lt;$C$12,  $D$11,
  $C314&lt;$C$13,  $D$12,
  $C314&lt;$C$14,  $D$13,
  $C314&lt;100,  $D$14,
)</f>
        <v>0</v>
      </c>
      <c r="N314">
        <f>主翼翼型1!$R$18*'主翼(平面形結果)'!H314+主翼翼型2!$R$18*'主翼(平面形結果)'!I314+主翼翼型3!$R$18*'主翼(平面形結果)'!J314+主翼翼型4!$R$18*'主翼(平面形結果)'!K314+主翼翼型5!$R$18*'主翼(平面形結果)'!L314</f>
        <v>14.593327618117016</v>
      </c>
      <c r="O314">
        <f t="shared" si="2"/>
        <v>0</v>
      </c>
    </row>
    <row r="315" spans="2:15">
      <c r="B315">
        <f>'主翼(型紙出力)'!B158</f>
        <v>0</v>
      </c>
      <c r="C315">
        <f>'主翼(型紙出力)'!C158</f>
        <v>0</v>
      </c>
      <c r="D315">
        <f>'主翼(型紙出力)'!E158</f>
        <v>0</v>
      </c>
      <c r="E315">
        <f>'主翼(重量推算)'!CE155</f>
        <v>0</v>
      </c>
      <c r="H315" cm="1">
        <f t="array" ref="H315">_xlfn.LET(
  _xlpm.y,$C315,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5" cm="1">
        <f t="array" ref="I315">_xlfn.LET(
  _xlpm.y,$C315,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5" cm="1">
        <f t="array" ref="J315">_xlfn.LET(
  _xlpm.y,$C315,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5" cm="1">
        <f t="array" ref="K315">_xlfn.LET(
  _xlpm.y,$C315,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5" cm="1">
        <f t="array" ref="L315">_xlfn.LET(
  _xlpm.y,$C315,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5" cm="1">
        <f t="array" ref="M315">_xlfn.SWITCH(TRUE,
  $C315&lt;$C$6,  $D$5,
  $C315&lt;$C$7,  $D$6,
  $C315&lt;$C$8,  $D$7,
  $C315&lt;$C$9,  $D$8,
  $C315&lt;$C$10,  $D$9,
  $C315&lt;$C$11,  $D$10,
  $C315&lt;$C$12,  $D$11,
  $C315&lt;$C$13,  $D$12,
  $C315&lt;$C$14,  $D$13,
  $C315&lt;100,  $D$14,
)</f>
        <v>0</v>
      </c>
      <c r="N315">
        <f>主翼翼型1!$R$18*'主翼(平面形結果)'!H315+主翼翼型2!$R$18*'主翼(平面形結果)'!I315+主翼翼型3!$R$18*'主翼(平面形結果)'!J315+主翼翼型4!$R$18*'主翼(平面形結果)'!K315+主翼翼型5!$R$18*'主翼(平面形結果)'!L315</f>
        <v>14.593327618117016</v>
      </c>
      <c r="O315">
        <f t="shared" si="2"/>
        <v>0</v>
      </c>
    </row>
    <row r="316" spans="2:15">
      <c r="B316">
        <f>'主翼(型紙出力)'!B159</f>
        <v>0</v>
      </c>
      <c r="C316">
        <f>'主翼(型紙出力)'!C159</f>
        <v>0</v>
      </c>
      <c r="D316">
        <f>'主翼(型紙出力)'!E159</f>
        <v>0</v>
      </c>
      <c r="E316">
        <f>'主翼(重量推算)'!CE156</f>
        <v>0</v>
      </c>
      <c r="H316" cm="1">
        <f t="array" ref="H316">_xlfn.LET(
  _xlpm.y,$C316,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6" cm="1">
        <f t="array" ref="I316">_xlfn.LET(
  _xlpm.y,$C316,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6" cm="1">
        <f t="array" ref="J316">_xlfn.LET(
  _xlpm.y,$C316,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6" cm="1">
        <f t="array" ref="K316">_xlfn.LET(
  _xlpm.y,$C316,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6" cm="1">
        <f t="array" ref="L316">_xlfn.LET(
  _xlpm.y,$C316,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6" cm="1">
        <f t="array" ref="M316">_xlfn.SWITCH(TRUE,
  $C316&lt;$C$6,  $D$5,
  $C316&lt;$C$7,  $D$6,
  $C316&lt;$C$8,  $D$7,
  $C316&lt;$C$9,  $D$8,
  $C316&lt;$C$10,  $D$9,
  $C316&lt;$C$11,  $D$10,
  $C316&lt;$C$12,  $D$11,
  $C316&lt;$C$13,  $D$12,
  $C316&lt;$C$14,  $D$13,
  $C316&lt;100,  $D$14,
)</f>
        <v>0</v>
      </c>
      <c r="N316">
        <f>主翼翼型1!$R$18*'主翼(平面形結果)'!H316+主翼翼型2!$R$18*'主翼(平面形結果)'!I316+主翼翼型3!$R$18*'主翼(平面形結果)'!J316+主翼翼型4!$R$18*'主翼(平面形結果)'!K316+主翼翼型5!$R$18*'主翼(平面形結果)'!L316</f>
        <v>14.593327618117016</v>
      </c>
      <c r="O316">
        <f t="shared" si="2"/>
        <v>0</v>
      </c>
    </row>
    <row r="317" spans="2:15">
      <c r="B317">
        <f>'主翼(型紙出力)'!B160</f>
        <v>0</v>
      </c>
      <c r="C317">
        <f>'主翼(型紙出力)'!C160</f>
        <v>0</v>
      </c>
      <c r="D317">
        <f>'主翼(型紙出力)'!E160</f>
        <v>0</v>
      </c>
      <c r="E317">
        <f>'主翼(重量推算)'!CE157</f>
        <v>0</v>
      </c>
      <c r="H317" cm="1">
        <f t="array" ref="H317">_xlfn.LET(
  _xlpm.y,$C317,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7" cm="1">
        <f t="array" ref="I317">_xlfn.LET(
  _xlpm.y,$C317,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7" cm="1">
        <f t="array" ref="J317">_xlfn.LET(
  _xlpm.y,$C317,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7" cm="1">
        <f t="array" ref="K317">_xlfn.LET(
  _xlpm.y,$C317,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7" cm="1">
        <f t="array" ref="L317">_xlfn.LET(
  _xlpm.y,$C317,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7" cm="1">
        <f t="array" ref="M317">_xlfn.SWITCH(TRUE,
  $C317&lt;$C$6,  $D$5,
  $C317&lt;$C$7,  $D$6,
  $C317&lt;$C$8,  $D$7,
  $C317&lt;$C$9,  $D$8,
  $C317&lt;$C$10,  $D$9,
  $C317&lt;$C$11,  $D$10,
  $C317&lt;$C$12,  $D$11,
  $C317&lt;$C$13,  $D$12,
  $C317&lt;$C$14,  $D$13,
  $C317&lt;100,  $D$14,
)</f>
        <v>0</v>
      </c>
      <c r="N317">
        <f>主翼翼型1!$R$18*'主翼(平面形結果)'!H317+主翼翼型2!$R$18*'主翼(平面形結果)'!I317+主翼翼型3!$R$18*'主翼(平面形結果)'!J317+主翼翼型4!$R$18*'主翼(平面形結果)'!K317+主翼翼型5!$R$18*'主翼(平面形結果)'!L317</f>
        <v>14.593327618117016</v>
      </c>
      <c r="O317">
        <f t="shared" si="2"/>
        <v>0</v>
      </c>
    </row>
    <row r="318" spans="2:15">
      <c r="B318">
        <f>'主翼(型紙出力)'!B161</f>
        <v>0</v>
      </c>
      <c r="C318">
        <f>'主翼(型紙出力)'!C161</f>
        <v>0</v>
      </c>
      <c r="D318">
        <f>'主翼(型紙出力)'!E161</f>
        <v>0</v>
      </c>
      <c r="E318">
        <f>'主翼(重量推算)'!CE158</f>
        <v>0</v>
      </c>
      <c r="H318" cm="1">
        <f t="array" ref="H318">_xlfn.LET(
  _xlpm.y,$C318,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8" cm="1">
        <f t="array" ref="I318">_xlfn.LET(
  _xlpm.y,$C318,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8" cm="1">
        <f t="array" ref="J318">_xlfn.LET(
  _xlpm.y,$C318,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8" cm="1">
        <f t="array" ref="K318">_xlfn.LET(
  _xlpm.y,$C318,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8" cm="1">
        <f t="array" ref="L318">_xlfn.LET(
  _xlpm.y,$C318,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8" cm="1">
        <f t="array" ref="M318">_xlfn.SWITCH(TRUE,
  $C318&lt;$C$6,  $D$5,
  $C318&lt;$C$7,  $D$6,
  $C318&lt;$C$8,  $D$7,
  $C318&lt;$C$9,  $D$8,
  $C318&lt;$C$10,  $D$9,
  $C318&lt;$C$11,  $D$10,
  $C318&lt;$C$12,  $D$11,
  $C318&lt;$C$13,  $D$12,
  $C318&lt;$C$14,  $D$13,
  $C318&lt;100,  $D$14,
)</f>
        <v>0</v>
      </c>
      <c r="N318">
        <f>主翼翼型1!$R$18*'主翼(平面形結果)'!H318+主翼翼型2!$R$18*'主翼(平面形結果)'!I318+主翼翼型3!$R$18*'主翼(平面形結果)'!J318+主翼翼型4!$R$18*'主翼(平面形結果)'!K318+主翼翼型5!$R$18*'主翼(平面形結果)'!L318</f>
        <v>14.593327618117016</v>
      </c>
      <c r="O318">
        <f t="shared" si="2"/>
        <v>0</v>
      </c>
    </row>
    <row r="319" spans="2:15">
      <c r="B319">
        <f>'主翼(型紙出力)'!B162</f>
        <v>0</v>
      </c>
      <c r="C319">
        <f>'主翼(型紙出力)'!C162</f>
        <v>0</v>
      </c>
      <c r="D319">
        <f>'主翼(型紙出力)'!E162</f>
        <v>0</v>
      </c>
      <c r="E319">
        <f>'主翼(重量推算)'!CE159</f>
        <v>0</v>
      </c>
      <c r="H319" cm="1">
        <f t="array" ref="H319">_xlfn.LET(
  _xlpm.y,$C319,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9" cm="1">
        <f t="array" ref="I319">_xlfn.LET(
  _xlpm.y,$C319,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9" cm="1">
        <f t="array" ref="J319">_xlfn.LET(
  _xlpm.y,$C319,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9" cm="1">
        <f t="array" ref="K319">_xlfn.LET(
  _xlpm.y,$C319,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9" cm="1">
        <f t="array" ref="L319">_xlfn.LET(
  _xlpm.y,$C319,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9" cm="1">
        <f t="array" ref="M319">_xlfn.SWITCH(TRUE,
  $C319&lt;$C$6,  $D$5,
  $C319&lt;$C$7,  $D$6,
  $C319&lt;$C$8,  $D$7,
  $C319&lt;$C$9,  $D$8,
  $C319&lt;$C$10,  $D$9,
  $C319&lt;$C$11,  $D$10,
  $C319&lt;$C$12,  $D$11,
  $C319&lt;$C$13,  $D$12,
  $C319&lt;$C$14,  $D$13,
  $C319&lt;100,  $D$14,
)</f>
        <v>0</v>
      </c>
      <c r="N319">
        <f>主翼翼型1!$R$18*'主翼(平面形結果)'!H319+主翼翼型2!$R$18*'主翼(平面形結果)'!I319+主翼翼型3!$R$18*'主翼(平面形結果)'!J319+主翼翼型4!$R$18*'主翼(平面形結果)'!K319+主翼翼型5!$R$18*'主翼(平面形結果)'!L319</f>
        <v>14.593327618117016</v>
      </c>
      <c r="O319">
        <f t="shared" si="2"/>
        <v>0</v>
      </c>
    </row>
    <row r="320" spans="2:15">
      <c r="B320">
        <f>'主翼(型紙出力)'!B163</f>
        <v>0</v>
      </c>
      <c r="C320">
        <f>'主翼(型紙出力)'!C163</f>
        <v>0</v>
      </c>
      <c r="D320">
        <f>'主翼(型紙出力)'!E163</f>
        <v>0</v>
      </c>
      <c r="E320">
        <f>'主翼(重量推算)'!CE160</f>
        <v>0</v>
      </c>
      <c r="H320" cm="1">
        <f t="array" ref="H320">_xlfn.LET(
  _xlpm.y,$C320,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0" cm="1">
        <f t="array" ref="I320">_xlfn.LET(
  _xlpm.y,$C320,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0" cm="1">
        <f t="array" ref="J320">_xlfn.LET(
  _xlpm.y,$C320,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0" cm="1">
        <f t="array" ref="K320">_xlfn.LET(
  _xlpm.y,$C320,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0" cm="1">
        <f t="array" ref="L320">_xlfn.LET(
  _xlpm.y,$C320,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0" cm="1">
        <f t="array" ref="M320">_xlfn.SWITCH(TRUE,
  $C320&lt;$C$6,  $D$5,
  $C320&lt;$C$7,  $D$6,
  $C320&lt;$C$8,  $D$7,
  $C320&lt;$C$9,  $D$8,
  $C320&lt;$C$10,  $D$9,
  $C320&lt;$C$11,  $D$10,
  $C320&lt;$C$12,  $D$11,
  $C320&lt;$C$13,  $D$12,
  $C320&lt;$C$14,  $D$13,
  $C320&lt;100,  $D$14,
)</f>
        <v>0</v>
      </c>
      <c r="N320">
        <f>主翼翼型1!$R$18*'主翼(平面形結果)'!H320+主翼翼型2!$R$18*'主翼(平面形結果)'!I320+主翼翼型3!$R$18*'主翼(平面形結果)'!J320+主翼翼型4!$R$18*'主翼(平面形結果)'!K320+主翼翼型5!$R$18*'主翼(平面形結果)'!L320</f>
        <v>14.593327618117016</v>
      </c>
      <c r="O320">
        <f t="shared" si="2"/>
        <v>0</v>
      </c>
    </row>
    <row r="321" spans="2:15">
      <c r="B321">
        <f>'主翼(型紙出力)'!B164</f>
        <v>0</v>
      </c>
      <c r="C321">
        <f>'主翼(型紙出力)'!C164</f>
        <v>0</v>
      </c>
      <c r="D321">
        <f>'主翼(型紙出力)'!E164</f>
        <v>0</v>
      </c>
      <c r="E321">
        <f>'主翼(重量推算)'!CE161</f>
        <v>0</v>
      </c>
      <c r="H321" cm="1">
        <f t="array" ref="H321">_xlfn.LET(
  _xlpm.y,$C321,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1" cm="1">
        <f t="array" ref="I321">_xlfn.LET(
  _xlpm.y,$C321,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1" cm="1">
        <f t="array" ref="J321">_xlfn.LET(
  _xlpm.y,$C321,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1" cm="1">
        <f t="array" ref="K321">_xlfn.LET(
  _xlpm.y,$C321,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1" cm="1">
        <f t="array" ref="L321">_xlfn.LET(
  _xlpm.y,$C321,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1" cm="1">
        <f t="array" ref="M321">_xlfn.SWITCH(TRUE,
  $C321&lt;$C$6,  $D$5,
  $C321&lt;$C$7,  $D$6,
  $C321&lt;$C$8,  $D$7,
  $C321&lt;$C$9,  $D$8,
  $C321&lt;$C$10,  $D$9,
  $C321&lt;$C$11,  $D$10,
  $C321&lt;$C$12,  $D$11,
  $C321&lt;$C$13,  $D$12,
  $C321&lt;$C$14,  $D$13,
  $C321&lt;100,  $D$14,
)</f>
        <v>0</v>
      </c>
      <c r="N321">
        <f>主翼翼型1!$R$18*'主翼(平面形結果)'!H321+主翼翼型2!$R$18*'主翼(平面形結果)'!I321+主翼翼型3!$R$18*'主翼(平面形結果)'!J321+主翼翼型4!$R$18*'主翼(平面形結果)'!K321+主翼翼型5!$R$18*'主翼(平面形結果)'!L321</f>
        <v>14.593327618117016</v>
      </c>
      <c r="O321">
        <f t="shared" si="2"/>
        <v>0</v>
      </c>
    </row>
    <row r="322" spans="2:15">
      <c r="B322">
        <f>'主翼(型紙出力)'!B165</f>
        <v>0</v>
      </c>
      <c r="C322">
        <f>'主翼(型紙出力)'!C165</f>
        <v>0</v>
      </c>
      <c r="D322">
        <f>'主翼(型紙出力)'!E165</f>
        <v>0</v>
      </c>
      <c r="E322">
        <f>'主翼(重量推算)'!CE162</f>
        <v>0</v>
      </c>
      <c r="H322" cm="1">
        <f t="array" ref="H322">_xlfn.LET(
  _xlpm.y,$C322,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2" cm="1">
        <f t="array" ref="I322">_xlfn.LET(
  _xlpm.y,$C322,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2" cm="1">
        <f t="array" ref="J322">_xlfn.LET(
  _xlpm.y,$C322,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2" cm="1">
        <f t="array" ref="K322">_xlfn.LET(
  _xlpm.y,$C322,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2" cm="1">
        <f t="array" ref="L322">_xlfn.LET(
  _xlpm.y,$C322,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2" cm="1">
        <f t="array" ref="M322">_xlfn.SWITCH(TRUE,
  $C322&lt;$C$6,  $D$5,
  $C322&lt;$C$7,  $D$6,
  $C322&lt;$C$8,  $D$7,
  $C322&lt;$C$9,  $D$8,
  $C322&lt;$C$10,  $D$9,
  $C322&lt;$C$11,  $D$10,
  $C322&lt;$C$12,  $D$11,
  $C322&lt;$C$13,  $D$12,
  $C322&lt;$C$14,  $D$13,
  $C322&lt;100,  $D$14,
)</f>
        <v>0</v>
      </c>
      <c r="N322">
        <f>主翼翼型1!$R$18*'主翼(平面形結果)'!H322+主翼翼型2!$R$18*'主翼(平面形結果)'!I322+主翼翼型3!$R$18*'主翼(平面形結果)'!J322+主翼翼型4!$R$18*'主翼(平面形結果)'!K322+主翼翼型5!$R$18*'主翼(平面形結果)'!L322</f>
        <v>14.593327618117016</v>
      </c>
      <c r="O322">
        <f t="shared" si="2"/>
        <v>0</v>
      </c>
    </row>
    <row r="323" spans="2:15">
      <c r="B323">
        <f>'主翼(型紙出力)'!B166</f>
        <v>0</v>
      </c>
      <c r="C323">
        <f>'主翼(型紙出力)'!C166</f>
        <v>0</v>
      </c>
      <c r="D323">
        <f>'主翼(型紙出力)'!E166</f>
        <v>0</v>
      </c>
      <c r="E323">
        <f>'主翼(重量推算)'!CE163</f>
        <v>0</v>
      </c>
      <c r="H323" cm="1">
        <f t="array" ref="H323">_xlfn.LET(
  _xlpm.y,$C323,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3" cm="1">
        <f t="array" ref="I323">_xlfn.LET(
  _xlpm.y,$C323,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3" cm="1">
        <f t="array" ref="J323">_xlfn.LET(
  _xlpm.y,$C323,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3" cm="1">
        <f t="array" ref="K323">_xlfn.LET(
  _xlpm.y,$C323,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3" cm="1">
        <f t="array" ref="L323">_xlfn.LET(
  _xlpm.y,$C323,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3" cm="1">
        <f t="array" ref="M323">_xlfn.SWITCH(TRUE,
  $C323&lt;$C$6,  $D$5,
  $C323&lt;$C$7,  $D$6,
  $C323&lt;$C$8,  $D$7,
  $C323&lt;$C$9,  $D$8,
  $C323&lt;$C$10,  $D$9,
  $C323&lt;$C$11,  $D$10,
  $C323&lt;$C$12,  $D$11,
  $C323&lt;$C$13,  $D$12,
  $C323&lt;$C$14,  $D$13,
  $C323&lt;100,  $D$14,
)</f>
        <v>0</v>
      </c>
      <c r="N323">
        <f>主翼翼型1!$R$18*'主翼(平面形結果)'!H323+主翼翼型2!$R$18*'主翼(平面形結果)'!I323+主翼翼型3!$R$18*'主翼(平面形結果)'!J323+主翼翼型4!$R$18*'主翼(平面形結果)'!K323+主翼翼型5!$R$18*'主翼(平面形結果)'!L323</f>
        <v>14.593327618117016</v>
      </c>
      <c r="O323">
        <f t="shared" si="2"/>
        <v>0</v>
      </c>
    </row>
    <row r="324" spans="2:15">
      <c r="B324">
        <f>'主翼(型紙出力)'!B167</f>
        <v>0</v>
      </c>
      <c r="C324">
        <f>'主翼(型紙出力)'!C167</f>
        <v>0</v>
      </c>
      <c r="D324">
        <f>'主翼(型紙出力)'!E167</f>
        <v>0</v>
      </c>
      <c r="E324">
        <f>'主翼(重量推算)'!CE164</f>
        <v>0</v>
      </c>
      <c r="H324" cm="1">
        <f t="array" ref="H324">_xlfn.LET(
  _xlpm.y,$C324,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4" cm="1">
        <f t="array" ref="I324">_xlfn.LET(
  _xlpm.y,$C324,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4" cm="1">
        <f t="array" ref="J324">_xlfn.LET(
  _xlpm.y,$C324,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4" cm="1">
        <f t="array" ref="K324">_xlfn.LET(
  _xlpm.y,$C324,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4" cm="1">
        <f t="array" ref="L324">_xlfn.LET(
  _xlpm.y,$C324,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4" cm="1">
        <f t="array" ref="M324">_xlfn.SWITCH(TRUE,
  $C324&lt;$C$6,  $D$5,
  $C324&lt;$C$7,  $D$6,
  $C324&lt;$C$8,  $D$7,
  $C324&lt;$C$9,  $D$8,
  $C324&lt;$C$10,  $D$9,
  $C324&lt;$C$11,  $D$10,
  $C324&lt;$C$12,  $D$11,
  $C324&lt;$C$13,  $D$12,
  $C324&lt;$C$14,  $D$13,
  $C324&lt;100,  $D$14,
)</f>
        <v>0</v>
      </c>
      <c r="N324">
        <f>主翼翼型1!$R$18*'主翼(平面形結果)'!H324+主翼翼型2!$R$18*'主翼(平面形結果)'!I324+主翼翼型3!$R$18*'主翼(平面形結果)'!J324+主翼翼型4!$R$18*'主翼(平面形結果)'!K324+主翼翼型5!$R$18*'主翼(平面形結果)'!L324</f>
        <v>14.593327618117016</v>
      </c>
      <c r="O324">
        <f t="shared" si="2"/>
        <v>0</v>
      </c>
    </row>
    <row r="325" spans="2:15">
      <c r="B325">
        <f>'主翼(型紙出力)'!B168</f>
        <v>0</v>
      </c>
      <c r="C325">
        <f>'主翼(型紙出力)'!C168</f>
        <v>0</v>
      </c>
      <c r="D325">
        <f>'主翼(型紙出力)'!E168</f>
        <v>0</v>
      </c>
      <c r="E325">
        <f>'主翼(重量推算)'!CE165</f>
        <v>0</v>
      </c>
      <c r="H325" cm="1">
        <f t="array" ref="H325">_xlfn.LET(
  _xlpm.y,$C325,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5" cm="1">
        <f t="array" ref="I325">_xlfn.LET(
  _xlpm.y,$C325,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5" cm="1">
        <f t="array" ref="J325">_xlfn.LET(
  _xlpm.y,$C325,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5" cm="1">
        <f t="array" ref="K325">_xlfn.LET(
  _xlpm.y,$C325,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5" cm="1">
        <f t="array" ref="L325">_xlfn.LET(
  _xlpm.y,$C325,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5" cm="1">
        <f t="array" ref="M325">_xlfn.SWITCH(TRUE,
  $C325&lt;$C$6,  $D$5,
  $C325&lt;$C$7,  $D$6,
  $C325&lt;$C$8,  $D$7,
  $C325&lt;$C$9,  $D$8,
  $C325&lt;$C$10,  $D$9,
  $C325&lt;$C$11,  $D$10,
  $C325&lt;$C$12,  $D$11,
  $C325&lt;$C$13,  $D$12,
  $C325&lt;$C$14,  $D$13,
  $C325&lt;100,  $D$14,
)</f>
        <v>0</v>
      </c>
      <c r="N325">
        <f>主翼翼型1!$R$18*'主翼(平面形結果)'!H325+主翼翼型2!$R$18*'主翼(平面形結果)'!I325+主翼翼型3!$R$18*'主翼(平面形結果)'!J325+主翼翼型4!$R$18*'主翼(平面形結果)'!K325+主翼翼型5!$R$18*'主翼(平面形結果)'!L325</f>
        <v>14.593327618117016</v>
      </c>
      <c r="O325">
        <f t="shared" si="2"/>
        <v>0</v>
      </c>
    </row>
    <row r="326" spans="2:15">
      <c r="B326">
        <f>'主翼(型紙出力)'!B169</f>
        <v>0</v>
      </c>
      <c r="C326">
        <f>'主翼(型紙出力)'!C169</f>
        <v>0</v>
      </c>
      <c r="D326">
        <f>'主翼(型紙出力)'!E169</f>
        <v>0</v>
      </c>
      <c r="E326">
        <f>'主翼(重量推算)'!CE166</f>
        <v>0</v>
      </c>
      <c r="H326" cm="1">
        <f t="array" ref="H326">_xlfn.LET(
  _xlpm.y,$C326,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6" cm="1">
        <f t="array" ref="I326">_xlfn.LET(
  _xlpm.y,$C326,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6" cm="1">
        <f t="array" ref="J326">_xlfn.LET(
  _xlpm.y,$C326,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6" cm="1">
        <f t="array" ref="K326">_xlfn.LET(
  _xlpm.y,$C326,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6" cm="1">
        <f t="array" ref="L326">_xlfn.LET(
  _xlpm.y,$C326,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6" cm="1">
        <f t="array" ref="M326">_xlfn.SWITCH(TRUE,
  $C326&lt;$C$6,  $D$5,
  $C326&lt;$C$7,  $D$6,
  $C326&lt;$C$8,  $D$7,
  $C326&lt;$C$9,  $D$8,
  $C326&lt;$C$10,  $D$9,
  $C326&lt;$C$11,  $D$10,
  $C326&lt;$C$12,  $D$11,
  $C326&lt;$C$13,  $D$12,
  $C326&lt;$C$14,  $D$13,
  $C326&lt;100,  $D$14,
)</f>
        <v>0</v>
      </c>
      <c r="N326">
        <f>主翼翼型1!$R$18*'主翼(平面形結果)'!H326+主翼翼型2!$R$18*'主翼(平面形結果)'!I326+主翼翼型3!$R$18*'主翼(平面形結果)'!J326+主翼翼型4!$R$18*'主翼(平面形結果)'!K326+主翼翼型5!$R$18*'主翼(平面形結果)'!L326</f>
        <v>14.593327618117016</v>
      </c>
      <c r="O326">
        <f t="shared" si="2"/>
        <v>0</v>
      </c>
    </row>
    <row r="327" spans="2:15">
      <c r="B327">
        <f>'主翼(型紙出力)'!B170</f>
        <v>0</v>
      </c>
      <c r="C327">
        <f>'主翼(型紙出力)'!C170</f>
        <v>0</v>
      </c>
      <c r="D327">
        <f>'主翼(型紙出力)'!E170</f>
        <v>0</v>
      </c>
      <c r="E327">
        <f>'主翼(重量推算)'!CE167</f>
        <v>0</v>
      </c>
      <c r="H327" cm="1">
        <f t="array" ref="H327">_xlfn.LET(
  _xlpm.y,$C327,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7" cm="1">
        <f t="array" ref="I327">_xlfn.LET(
  _xlpm.y,$C327,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7" cm="1">
        <f t="array" ref="J327">_xlfn.LET(
  _xlpm.y,$C327,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7" cm="1">
        <f t="array" ref="K327">_xlfn.LET(
  _xlpm.y,$C327,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7" cm="1">
        <f t="array" ref="L327">_xlfn.LET(
  _xlpm.y,$C327,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7" cm="1">
        <f t="array" ref="M327">_xlfn.SWITCH(TRUE,
  $C327&lt;$C$6,  $D$5,
  $C327&lt;$C$7,  $D$6,
  $C327&lt;$C$8,  $D$7,
  $C327&lt;$C$9,  $D$8,
  $C327&lt;$C$10,  $D$9,
  $C327&lt;$C$11,  $D$10,
  $C327&lt;$C$12,  $D$11,
  $C327&lt;$C$13,  $D$12,
  $C327&lt;$C$14,  $D$13,
  $C327&lt;100,  $D$14,
)</f>
        <v>0</v>
      </c>
      <c r="N327">
        <f>主翼翼型1!$R$18*'主翼(平面形結果)'!H327+主翼翼型2!$R$18*'主翼(平面形結果)'!I327+主翼翼型3!$R$18*'主翼(平面形結果)'!J327+主翼翼型4!$R$18*'主翼(平面形結果)'!K327+主翼翼型5!$R$18*'主翼(平面形結果)'!L327</f>
        <v>14.593327618117016</v>
      </c>
      <c r="O327">
        <f t="shared" si="2"/>
        <v>0</v>
      </c>
    </row>
    <row r="328" spans="2:15">
      <c r="B328">
        <f>'主翼(型紙出力)'!B171</f>
        <v>0</v>
      </c>
      <c r="C328">
        <f>'主翼(型紙出力)'!C171</f>
        <v>0</v>
      </c>
      <c r="D328">
        <f>'主翼(型紙出力)'!E171</f>
        <v>0</v>
      </c>
      <c r="E328">
        <f>'主翼(重量推算)'!CE168</f>
        <v>0</v>
      </c>
      <c r="H328" cm="1">
        <f t="array" ref="H328">_xlfn.LET(
  _xlpm.y,$C328,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8" cm="1">
        <f t="array" ref="I328">_xlfn.LET(
  _xlpm.y,$C328,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8" cm="1">
        <f t="array" ref="J328">_xlfn.LET(
  _xlpm.y,$C328,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8" cm="1">
        <f t="array" ref="K328">_xlfn.LET(
  _xlpm.y,$C328,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8" cm="1">
        <f t="array" ref="L328">_xlfn.LET(
  _xlpm.y,$C328,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8" cm="1">
        <f t="array" ref="M328">_xlfn.SWITCH(TRUE,
  $C328&lt;$C$6,  $D$5,
  $C328&lt;$C$7,  $D$6,
  $C328&lt;$C$8,  $D$7,
  $C328&lt;$C$9,  $D$8,
  $C328&lt;$C$10,  $D$9,
  $C328&lt;$C$11,  $D$10,
  $C328&lt;$C$12,  $D$11,
  $C328&lt;$C$13,  $D$12,
  $C328&lt;$C$14,  $D$13,
  $C328&lt;100,  $D$14,
)</f>
        <v>0</v>
      </c>
      <c r="N328">
        <f>主翼翼型1!$R$18*'主翼(平面形結果)'!H328+主翼翼型2!$R$18*'主翼(平面形結果)'!I328+主翼翼型3!$R$18*'主翼(平面形結果)'!J328+主翼翼型4!$R$18*'主翼(平面形結果)'!K328+主翼翼型5!$R$18*'主翼(平面形結果)'!L328</f>
        <v>14.593327618117016</v>
      </c>
      <c r="O328">
        <f t="shared" si="2"/>
        <v>0</v>
      </c>
    </row>
    <row r="329" spans="2:15">
      <c r="B329">
        <f>'主翼(型紙出力)'!B172</f>
        <v>0</v>
      </c>
      <c r="C329">
        <f>'主翼(型紙出力)'!C172</f>
        <v>0</v>
      </c>
      <c r="D329">
        <f>'主翼(型紙出力)'!E172</f>
        <v>0</v>
      </c>
      <c r="E329">
        <f>'主翼(重量推算)'!CE169</f>
        <v>0</v>
      </c>
      <c r="H329" cm="1">
        <f t="array" ref="H329">_xlfn.LET(
  _xlpm.y,$C329,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9" cm="1">
        <f t="array" ref="I329">_xlfn.LET(
  _xlpm.y,$C329,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9" cm="1">
        <f t="array" ref="J329">_xlfn.LET(
  _xlpm.y,$C329,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9" cm="1">
        <f t="array" ref="K329">_xlfn.LET(
  _xlpm.y,$C329,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9" cm="1">
        <f t="array" ref="L329">_xlfn.LET(
  _xlpm.y,$C329,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9" cm="1">
        <f t="array" ref="M329">_xlfn.SWITCH(TRUE,
  $C329&lt;$C$6,  $D$5,
  $C329&lt;$C$7,  $D$6,
  $C329&lt;$C$8,  $D$7,
  $C329&lt;$C$9,  $D$8,
  $C329&lt;$C$10,  $D$9,
  $C329&lt;$C$11,  $D$10,
  $C329&lt;$C$12,  $D$11,
  $C329&lt;$C$13,  $D$12,
  $C329&lt;$C$14,  $D$13,
  $C329&lt;100,  $D$14,
)</f>
        <v>0</v>
      </c>
      <c r="N329">
        <f>主翼翼型1!$R$18*'主翼(平面形結果)'!H329+主翼翼型2!$R$18*'主翼(平面形結果)'!I329+主翼翼型3!$R$18*'主翼(平面形結果)'!J329+主翼翼型4!$R$18*'主翼(平面形結果)'!K329+主翼翼型5!$R$18*'主翼(平面形結果)'!L329</f>
        <v>14.593327618117016</v>
      </c>
      <c r="O329">
        <f t="shared" si="2"/>
        <v>0</v>
      </c>
    </row>
    <row r="330" spans="2:15">
      <c r="B330">
        <f>'主翼(型紙出力)'!B173</f>
        <v>0</v>
      </c>
      <c r="C330">
        <f>'主翼(型紙出力)'!C173</f>
        <v>0</v>
      </c>
      <c r="D330">
        <f>'主翼(型紙出力)'!E173</f>
        <v>0</v>
      </c>
      <c r="E330">
        <f>'主翼(重量推算)'!CE170</f>
        <v>0</v>
      </c>
      <c r="H330" cm="1">
        <f t="array" ref="H330">_xlfn.LET(
  _xlpm.y,$C330,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0" cm="1">
        <f t="array" ref="I330">_xlfn.LET(
  _xlpm.y,$C330,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0" cm="1">
        <f t="array" ref="J330">_xlfn.LET(
  _xlpm.y,$C330,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0" cm="1">
        <f t="array" ref="K330">_xlfn.LET(
  _xlpm.y,$C330,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0" cm="1">
        <f t="array" ref="L330">_xlfn.LET(
  _xlpm.y,$C330,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0" cm="1">
        <f t="array" ref="M330">_xlfn.SWITCH(TRUE,
  $C330&lt;$C$6,  $D$5,
  $C330&lt;$C$7,  $D$6,
  $C330&lt;$C$8,  $D$7,
  $C330&lt;$C$9,  $D$8,
  $C330&lt;$C$10,  $D$9,
  $C330&lt;$C$11,  $D$10,
  $C330&lt;$C$12,  $D$11,
  $C330&lt;$C$13,  $D$12,
  $C330&lt;$C$14,  $D$13,
  $C330&lt;100,  $D$14,
)</f>
        <v>0</v>
      </c>
      <c r="O330">
        <f t="shared" si="2"/>
        <v>0</v>
      </c>
    </row>
    <row r="331" spans="2:15">
      <c r="B331">
        <f>'主翼(型紙出力)'!B174</f>
        <v>0</v>
      </c>
      <c r="C331">
        <f>'主翼(型紙出力)'!C174</f>
        <v>0</v>
      </c>
      <c r="D331">
        <f>'主翼(型紙出力)'!E174</f>
        <v>0</v>
      </c>
      <c r="E331">
        <f>'主翼(重量推算)'!CE171</f>
        <v>0</v>
      </c>
      <c r="H331" cm="1">
        <f t="array" ref="H331">_xlfn.LET(
  _xlpm.y,$C331,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1" cm="1">
        <f t="array" ref="I331">_xlfn.LET(
  _xlpm.y,$C331,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1" cm="1">
        <f t="array" ref="J331">_xlfn.LET(
  _xlpm.y,$C331,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1" cm="1">
        <f t="array" ref="K331">_xlfn.LET(
  _xlpm.y,$C331,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1" cm="1">
        <f t="array" ref="L331">_xlfn.LET(
  _xlpm.y,$C331,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1" cm="1">
        <f t="array" ref="M331">_xlfn.SWITCH(TRUE,
  $C331&lt;$C$6,  $D$5,
  $C331&lt;$C$7,  $D$6,
  $C331&lt;$C$8,  $D$7,
  $C331&lt;$C$9,  $D$8,
  $C331&lt;$C$10,  $D$9,
  $C331&lt;$C$11,  $D$10,
  $C331&lt;$C$12,  $D$11,
  $C331&lt;$C$13,  $D$12,
  $C331&lt;$C$14,  $D$13,
  $C331&lt;100,  $D$14,
)</f>
        <v>0</v>
      </c>
      <c r="O331">
        <f t="shared" si="2"/>
        <v>0</v>
      </c>
    </row>
    <row r="332" spans="2:15">
      <c r="B332">
        <f>'主翼(型紙出力)'!B175</f>
        <v>0</v>
      </c>
      <c r="C332">
        <f>'主翼(型紙出力)'!C175</f>
        <v>0</v>
      </c>
      <c r="D332">
        <f>'主翼(型紙出力)'!E175</f>
        <v>0</v>
      </c>
      <c r="E332">
        <f>'主翼(重量推算)'!CE172</f>
        <v>0</v>
      </c>
      <c r="H332" cm="1">
        <f t="array" ref="H332">_xlfn.LET(
  _xlpm.y,$C332,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2" cm="1">
        <f t="array" ref="I332">_xlfn.LET(
  _xlpm.y,$C332,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2" cm="1">
        <f t="array" ref="J332">_xlfn.LET(
  _xlpm.y,$C332,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2" cm="1">
        <f t="array" ref="K332">_xlfn.LET(
  _xlpm.y,$C332,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2" cm="1">
        <f t="array" ref="L332">_xlfn.LET(
  _xlpm.y,$C332,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2" cm="1">
        <f t="array" ref="M332">_xlfn.SWITCH(TRUE,
  $C332&lt;$C$6,  $D$5,
  $C332&lt;$C$7,  $D$6,
  $C332&lt;$C$8,  $D$7,
  $C332&lt;$C$9,  $D$8,
  $C332&lt;$C$10,  $D$9,
  $C332&lt;$C$11,  $D$10,
  $C332&lt;$C$12,  $D$11,
  $C332&lt;$C$13,  $D$12,
  $C332&lt;$C$14,  $D$13,
  $C332&lt;100,  $D$14,
)</f>
        <v>0</v>
      </c>
      <c r="O332">
        <f t="shared" si="2"/>
        <v>0</v>
      </c>
    </row>
    <row r="333" spans="2:15">
      <c r="B333">
        <f>'主翼(型紙出力)'!B176</f>
        <v>0</v>
      </c>
      <c r="C333">
        <f>'主翼(型紙出力)'!C176</f>
        <v>0</v>
      </c>
      <c r="D333">
        <f>'主翼(型紙出力)'!E176</f>
        <v>0</v>
      </c>
      <c r="E333">
        <f>'主翼(重量推算)'!CE173</f>
        <v>0</v>
      </c>
      <c r="H333" cm="1">
        <f t="array" ref="H333">_xlfn.LET(
  _xlpm.y,$C333,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3" cm="1">
        <f t="array" ref="I333">_xlfn.LET(
  _xlpm.y,$C333,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3" cm="1">
        <f t="array" ref="J333">_xlfn.LET(
  _xlpm.y,$C333,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3" cm="1">
        <f t="array" ref="K333">_xlfn.LET(
  _xlpm.y,$C333,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3" cm="1">
        <f t="array" ref="L333">_xlfn.LET(
  _xlpm.y,$C333,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3" cm="1">
        <f t="array" ref="M333">_xlfn.SWITCH(TRUE,
  $C333&lt;$C$6,  $D$5,
  $C333&lt;$C$7,  $D$6,
  $C333&lt;$C$8,  $D$7,
  $C333&lt;$C$9,  $D$8,
  $C333&lt;$C$10,  $D$9,
  $C333&lt;$C$11,  $D$10,
  $C333&lt;$C$12,  $D$11,
  $C333&lt;$C$13,  $D$12,
  $C333&lt;$C$14,  $D$13,
  $C333&lt;100,  $D$14,
)</f>
        <v>0</v>
      </c>
      <c r="O333">
        <f t="shared" si="2"/>
        <v>0</v>
      </c>
    </row>
    <row r="334" spans="2:15">
      <c r="B334">
        <f>'主翼(型紙出力)'!B177</f>
        <v>0</v>
      </c>
      <c r="C334">
        <f>'主翼(型紙出力)'!C177</f>
        <v>0</v>
      </c>
      <c r="D334">
        <f>'主翼(型紙出力)'!E177</f>
        <v>0</v>
      </c>
      <c r="E334">
        <f>'主翼(重量推算)'!CE174</f>
        <v>0</v>
      </c>
      <c r="H334" cm="1">
        <f t="array" ref="H334">_xlfn.LET(
  _xlpm.y,$C334,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4" cm="1">
        <f t="array" ref="I334">_xlfn.LET(
  _xlpm.y,$C334,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4" cm="1">
        <f t="array" ref="J334">_xlfn.LET(
  _xlpm.y,$C334,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4" cm="1">
        <f t="array" ref="K334">_xlfn.LET(
  _xlpm.y,$C334,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4" cm="1">
        <f t="array" ref="L334">_xlfn.LET(
  _xlpm.y,$C334,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4" cm="1">
        <f t="array" ref="M334">_xlfn.SWITCH(TRUE,
  $C334&lt;$C$6,  $D$5,
  $C334&lt;$C$7,  $D$6,
  $C334&lt;$C$8,  $D$7,
  $C334&lt;$C$9,  $D$8,
  $C334&lt;$C$10,  $D$9,
  $C334&lt;$C$11,  $D$10,
  $C334&lt;$C$12,  $D$11,
  $C334&lt;$C$13,  $D$12,
  $C334&lt;$C$14,  $D$13,
  $C334&lt;100,  $D$14,
)</f>
        <v>0</v>
      </c>
      <c r="O334">
        <f t="shared" si="2"/>
        <v>0</v>
      </c>
    </row>
    <row r="335" spans="2:15">
      <c r="B335">
        <f>'主翼(型紙出力)'!B178</f>
        <v>0</v>
      </c>
      <c r="C335">
        <f>'主翼(型紙出力)'!C178</f>
        <v>0</v>
      </c>
      <c r="D335">
        <f>'主翼(型紙出力)'!E178</f>
        <v>0</v>
      </c>
      <c r="E335">
        <f>'主翼(重量推算)'!CE175</f>
        <v>0</v>
      </c>
      <c r="H335" cm="1">
        <f t="array" ref="H335">_xlfn.LET(
  _xlpm.y,$C335,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5" cm="1">
        <f t="array" ref="I335">_xlfn.LET(
  _xlpm.y,$C335,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5" cm="1">
        <f t="array" ref="J335">_xlfn.LET(
  _xlpm.y,$C335,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5" cm="1">
        <f t="array" ref="K335">_xlfn.LET(
  _xlpm.y,$C335,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5" cm="1">
        <f t="array" ref="L335">_xlfn.LET(
  _xlpm.y,$C335,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35">
        <f t="shared" si="2"/>
        <v>0</v>
      </c>
    </row>
    <row r="336" spans="2:15">
      <c r="B336">
        <f>'主翼(型紙出力)'!B179</f>
        <v>0</v>
      </c>
      <c r="C336">
        <f>'主翼(型紙出力)'!C179</f>
        <v>0</v>
      </c>
      <c r="D336">
        <f>'主翼(型紙出力)'!E179</f>
        <v>0</v>
      </c>
      <c r="E336">
        <f>'主翼(重量推算)'!CE176</f>
        <v>0</v>
      </c>
      <c r="H336" cm="1">
        <f t="array" ref="H336">_xlfn.LET(
  _xlpm.y,$C336,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6" cm="1">
        <f t="array" ref="I336">_xlfn.LET(
  _xlpm.y,$C336,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6" cm="1">
        <f t="array" ref="J336">_xlfn.LET(
  _xlpm.y,$C336,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6" cm="1">
        <f t="array" ref="K336">_xlfn.LET(
  _xlpm.y,$C336,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6" cm="1">
        <f t="array" ref="L336">_xlfn.LET(
  _xlpm.y,$C336,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36">
        <f t="shared" si="2"/>
        <v>0</v>
      </c>
    </row>
    <row r="337" spans="2:15">
      <c r="B337">
        <f>'主翼(型紙出力)'!B180</f>
        <v>0</v>
      </c>
      <c r="C337">
        <f>'主翼(型紙出力)'!C180</f>
        <v>0</v>
      </c>
      <c r="D337">
        <f>'主翼(型紙出力)'!E180</f>
        <v>0</v>
      </c>
      <c r="E337">
        <f>'主翼(重量推算)'!CE177</f>
        <v>0</v>
      </c>
      <c r="H337" cm="1">
        <f t="array" ref="H337">_xlfn.LET(
  _xlpm.y,$C337,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7" cm="1">
        <f t="array" ref="I337">_xlfn.LET(
  _xlpm.y,$C337,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7" cm="1">
        <f t="array" ref="J337">_xlfn.LET(
  _xlpm.y,$C337,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7" cm="1">
        <f t="array" ref="K337">_xlfn.LET(
  _xlpm.y,$C337,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7" cm="1">
        <f t="array" ref="L337">_xlfn.LET(
  _xlpm.y,$C337,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37">
        <f t="shared" ref="O337:O345" si="3">F337*N337/100</f>
        <v>0</v>
      </c>
    </row>
    <row r="338" spans="2:15">
      <c r="B338">
        <f>'主翼(型紙出力)'!B181</f>
        <v>0</v>
      </c>
      <c r="C338">
        <f>'主翼(型紙出力)'!C181</f>
        <v>0</v>
      </c>
      <c r="D338">
        <f>'主翼(型紙出力)'!E181</f>
        <v>0</v>
      </c>
      <c r="E338">
        <f>'主翼(重量推算)'!CE178</f>
        <v>0</v>
      </c>
      <c r="H338" cm="1">
        <f t="array" ref="H338">_xlfn.LET(
  _xlpm.y,$C338,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8" cm="1">
        <f t="array" ref="I338">_xlfn.LET(
  _xlpm.y,$C338,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8" cm="1">
        <f t="array" ref="J338">_xlfn.LET(
  _xlpm.y,$C338,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8" cm="1">
        <f t="array" ref="K338">_xlfn.LET(
  _xlpm.y,$C338,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8" cm="1">
        <f t="array" ref="L338">_xlfn.LET(
  _xlpm.y,$C338,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38">
        <f t="shared" si="3"/>
        <v>0</v>
      </c>
    </row>
    <row r="339" spans="2:15">
      <c r="B339">
        <f>'主翼(型紙出力)'!B182</f>
        <v>0</v>
      </c>
      <c r="C339">
        <f>'主翼(型紙出力)'!C182</f>
        <v>0</v>
      </c>
      <c r="D339">
        <f>'主翼(型紙出力)'!E182</f>
        <v>0</v>
      </c>
      <c r="E339">
        <f>'主翼(重量推算)'!CE179</f>
        <v>0</v>
      </c>
      <c r="H339" cm="1">
        <f t="array" ref="H339">_xlfn.LET(
  _xlpm.y,$C339,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9" cm="1">
        <f t="array" ref="I339">_xlfn.LET(
  _xlpm.y,$C339,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9" cm="1">
        <f t="array" ref="J339">_xlfn.LET(
  _xlpm.y,$C339,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9" cm="1">
        <f t="array" ref="K339">_xlfn.LET(
  _xlpm.y,$C339,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9" cm="1">
        <f t="array" ref="L339">_xlfn.LET(
  _xlpm.y,$C339,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39">
        <f t="shared" si="3"/>
        <v>0</v>
      </c>
    </row>
    <row r="340" spans="2:15">
      <c r="B340">
        <f>'主翼(型紙出力)'!B183</f>
        <v>0</v>
      </c>
      <c r="C340">
        <f>'主翼(型紙出力)'!C183</f>
        <v>0</v>
      </c>
      <c r="D340">
        <f>'主翼(型紙出力)'!E183</f>
        <v>0</v>
      </c>
      <c r="E340">
        <f>'主翼(重量推算)'!CE180</f>
        <v>0</v>
      </c>
      <c r="H340" cm="1">
        <f t="array" ref="H340">_xlfn.LET(
  _xlpm.y,$C340,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0" cm="1">
        <f t="array" ref="I340">_xlfn.LET(
  _xlpm.y,$C340,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0" cm="1">
        <f t="array" ref="J340">_xlfn.LET(
  _xlpm.y,$C340,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0" cm="1">
        <f t="array" ref="K340">_xlfn.LET(
  _xlpm.y,$C340,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0" cm="1">
        <f t="array" ref="L340">_xlfn.LET(
  _xlpm.y,$C340,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40">
        <f t="shared" si="3"/>
        <v>0</v>
      </c>
    </row>
    <row r="341" spans="2:15">
      <c r="B341">
        <f>'主翼(型紙出力)'!B184</f>
        <v>0</v>
      </c>
      <c r="C341">
        <f>'主翼(型紙出力)'!C184</f>
        <v>0</v>
      </c>
      <c r="D341">
        <f>'主翼(型紙出力)'!E184</f>
        <v>0</v>
      </c>
      <c r="E341">
        <f>'主翼(重量推算)'!CE181</f>
        <v>0</v>
      </c>
      <c r="H341" cm="1">
        <f t="array" ref="H341">_xlfn.LET(
  _xlpm.y,$C341,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1" cm="1">
        <f t="array" ref="I341">_xlfn.LET(
  _xlpm.y,$C341,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1" cm="1">
        <f t="array" ref="J341">_xlfn.LET(
  _xlpm.y,$C341,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1" cm="1">
        <f t="array" ref="K341">_xlfn.LET(
  _xlpm.y,$C341,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1" cm="1">
        <f t="array" ref="L341">_xlfn.LET(
  _xlpm.y,$C341,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41">
        <f t="shared" si="3"/>
        <v>0</v>
      </c>
    </row>
    <row r="342" spans="2:15">
      <c r="B342">
        <f>'主翼(型紙出力)'!B185</f>
        <v>0</v>
      </c>
      <c r="C342">
        <f>'主翼(型紙出力)'!C185</f>
        <v>0</v>
      </c>
      <c r="D342">
        <f>'主翼(型紙出力)'!E185</f>
        <v>0</v>
      </c>
      <c r="E342">
        <f>'主翼(重量推算)'!CE182</f>
        <v>0</v>
      </c>
      <c r="H342" cm="1">
        <f t="array" ref="H342">_xlfn.LET(
  _xlpm.y,$C342,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2" cm="1">
        <f t="array" ref="I342">_xlfn.LET(
  _xlpm.y,$C342,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2" cm="1">
        <f t="array" ref="J342">_xlfn.LET(
  _xlpm.y,$C342,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2" cm="1">
        <f t="array" ref="K342">_xlfn.LET(
  _xlpm.y,$C342,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2" cm="1">
        <f t="array" ref="L342">_xlfn.LET(
  _xlpm.y,$C342,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42">
        <f t="shared" si="3"/>
        <v>0</v>
      </c>
    </row>
    <row r="343" spans="2:15">
      <c r="B343">
        <f>'主翼(型紙出力)'!B186</f>
        <v>0</v>
      </c>
      <c r="C343">
        <f>'主翼(型紙出力)'!C186</f>
        <v>0</v>
      </c>
      <c r="D343">
        <f>'主翼(型紙出力)'!E186</f>
        <v>0</v>
      </c>
      <c r="E343">
        <f>'主翼(重量推算)'!CE183</f>
        <v>0</v>
      </c>
      <c r="H343" cm="1">
        <f t="array" ref="H343">_xlfn.LET(
  _xlpm.y,$C343,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3" cm="1">
        <f t="array" ref="I343">_xlfn.LET(
  _xlpm.y,$C343,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3" cm="1">
        <f t="array" ref="J343">_xlfn.LET(
  _xlpm.y,$C343,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3" cm="1">
        <f t="array" ref="K343">_xlfn.LET(
  _xlpm.y,$C343,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3" cm="1">
        <f t="array" ref="L343">_xlfn.LET(
  _xlpm.y,$C343,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43">
        <f t="shared" si="3"/>
        <v>0</v>
      </c>
    </row>
    <row r="344" spans="2:15">
      <c r="B344">
        <f>'主翼(型紙出力)'!B187</f>
        <v>0</v>
      </c>
      <c r="C344">
        <f>'主翼(型紙出力)'!C187</f>
        <v>0</v>
      </c>
      <c r="D344">
        <f>'主翼(型紙出力)'!E187</f>
        <v>0</v>
      </c>
      <c r="E344">
        <f>'主翼(重量推算)'!CE184</f>
        <v>0</v>
      </c>
      <c r="H344" cm="1">
        <f t="array" ref="H344">_xlfn.LET(
  _xlpm.y,$C344,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4" cm="1">
        <f t="array" ref="I344">_xlfn.LET(
  _xlpm.y,$C344,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4" cm="1">
        <f t="array" ref="J344">_xlfn.LET(
  _xlpm.y,$C344,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4" cm="1">
        <f t="array" ref="K344">_xlfn.LET(
  _xlpm.y,$C344,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4" cm="1">
        <f t="array" ref="L344">_xlfn.LET(
  _xlpm.y,$C344,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44">
        <f t="shared" si="3"/>
        <v>0</v>
      </c>
    </row>
    <row r="345" spans="2:15">
      <c r="B345">
        <f>'主翼(型紙出力)'!B188</f>
        <v>0</v>
      </c>
      <c r="C345">
        <f>'主翼(型紙出力)'!C188</f>
        <v>0</v>
      </c>
      <c r="D345">
        <f>'主翼(型紙出力)'!E188</f>
        <v>0</v>
      </c>
      <c r="E345">
        <f>'主翼(重量推算)'!CE185</f>
        <v>0</v>
      </c>
      <c r="H345" cm="1">
        <f t="array" ref="H345">_xlfn.LET(
  _xlpm.y,$C345,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5" cm="1">
        <f t="array" ref="I345">_xlfn.LET(
  _xlpm.y,$C345,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5" cm="1">
        <f t="array" ref="J345">_xlfn.LET(
  _xlpm.y,$C345,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5" cm="1">
        <f t="array" ref="K345">_xlfn.LET(
  _xlpm.y,$C345,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5" cm="1">
        <f t="array" ref="L345">_xlfn.LET(
  _xlpm.y,$C345,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45">
        <f t="shared" si="3"/>
        <v>0</v>
      </c>
    </row>
    <row r="346" spans="2:15">
      <c r="B346">
        <f>'主翼(型紙出力)'!B189</f>
        <v>0</v>
      </c>
      <c r="C346">
        <f>'主翼(型紙出力)'!C189</f>
        <v>0</v>
      </c>
      <c r="D346">
        <f>'主翼(型紙出力)'!E189</f>
        <v>0</v>
      </c>
      <c r="E346">
        <f>'主翼(重量推算)'!CE186</f>
        <v>0</v>
      </c>
    </row>
    <row r="347" spans="2:15">
      <c r="B347">
        <f>'主翼(型紙出力)'!B190</f>
        <v>0</v>
      </c>
      <c r="C347">
        <f>'主翼(型紙出力)'!C190</f>
        <v>0</v>
      </c>
      <c r="D347">
        <f>'主翼(型紙出力)'!E190</f>
        <v>0</v>
      </c>
      <c r="E347">
        <f>'主翼(重量推算)'!CE187</f>
        <v>0</v>
      </c>
    </row>
    <row r="348" spans="2:15">
      <c r="B348">
        <f>'主翼(型紙出力)'!B191</f>
        <v>0</v>
      </c>
      <c r="C348">
        <f>'主翼(型紙出力)'!C191</f>
        <v>0</v>
      </c>
      <c r="D348">
        <f>'主翼(型紙出力)'!E191</f>
        <v>0</v>
      </c>
      <c r="E348">
        <f>'主翼(重量推算)'!CE188</f>
        <v>0</v>
      </c>
    </row>
    <row r="349" spans="2:15">
      <c r="B349">
        <f>'主翼(型紙出力)'!B192</f>
        <v>0</v>
      </c>
      <c r="C349">
        <f>'主翼(型紙出力)'!C192</f>
        <v>0</v>
      </c>
      <c r="D349">
        <f>'主翼(型紙出力)'!E192</f>
        <v>0</v>
      </c>
      <c r="E349">
        <f>'主翼(重量推算)'!CE189</f>
        <v>0</v>
      </c>
    </row>
    <row r="350" spans="2:15">
      <c r="B350">
        <f>'主翼(型紙出力)'!B193</f>
        <v>0</v>
      </c>
      <c r="C350">
        <f>'主翼(型紙出力)'!C193</f>
        <v>0</v>
      </c>
      <c r="D350">
        <f>'主翼(型紙出力)'!E193</f>
        <v>0</v>
      </c>
      <c r="E350">
        <f>'主翼(重量推算)'!CE190</f>
        <v>0</v>
      </c>
    </row>
    <row r="351" spans="2:15">
      <c r="B351">
        <f>'主翼(型紙出力)'!B194</f>
        <v>0</v>
      </c>
      <c r="C351">
        <f>'主翼(型紙出力)'!C194</f>
        <v>0</v>
      </c>
      <c r="D351">
        <f>'主翼(型紙出力)'!E194</f>
        <v>0</v>
      </c>
      <c r="E351">
        <f>'主翼(重量推算)'!CE191</f>
        <v>0</v>
      </c>
    </row>
    <row r="352" spans="2:15">
      <c r="B352">
        <f>'主翼(型紙出力)'!B195</f>
        <v>0</v>
      </c>
      <c r="C352">
        <f>'主翼(型紙出力)'!C195</f>
        <v>0</v>
      </c>
      <c r="D352">
        <f>'主翼(型紙出力)'!E195</f>
        <v>0</v>
      </c>
      <c r="E352">
        <f>'主翼(重量推算)'!CE192</f>
        <v>0</v>
      </c>
    </row>
    <row r="353" spans="2:5">
      <c r="B353">
        <f>'主翼(型紙出力)'!B196</f>
        <v>0</v>
      </c>
      <c r="C353">
        <f>'主翼(型紙出力)'!C196</f>
        <v>0</v>
      </c>
      <c r="D353">
        <f>'主翼(型紙出力)'!E196</f>
        <v>0</v>
      </c>
      <c r="E353">
        <f>'主翼(重量推算)'!CE193</f>
        <v>0</v>
      </c>
    </row>
    <row r="424" spans="2:19">
      <c r="B424" s="271" t="s">
        <v>1158</v>
      </c>
    </row>
    <row r="425" spans="2:19">
      <c r="B425">
        <f>'主翼(平面形)'!B425</f>
        <v>0</v>
      </c>
      <c r="C425" t="str">
        <f>'主翼(平面形)'!C425</f>
        <v>term</v>
      </c>
      <c r="D425">
        <f>'主翼(平面形)'!D425</f>
        <v>1</v>
      </c>
      <c r="E425" t="str">
        <f>'主翼(平面形)'!E425</f>
        <v>α^1</v>
      </c>
      <c r="F425" t="str">
        <f>'主翼(平面形)'!F425</f>
        <v>α^2</v>
      </c>
      <c r="G425" t="str">
        <f>'主翼(平面形)'!G425</f>
        <v>α^3</v>
      </c>
      <c r="H425" t="str">
        <f>'主翼(平面形)'!H425</f>
        <v>α^4</v>
      </c>
      <c r="I425" t="str">
        <f>'主翼(平面形)'!I425</f>
        <v>α^5</v>
      </c>
      <c r="J425" t="str">
        <f>'主翼(平面形)'!J425</f>
        <v>α^6</v>
      </c>
      <c r="K425" t="str">
        <f>'主翼(平面形)'!K425</f>
        <v>α^7</v>
      </c>
      <c r="L425" t="str">
        <f>'主翼(平面形)'!L425</f>
        <v>α^8</v>
      </c>
      <c r="M425" t="str">
        <f>'主翼(平面形)'!M425</f>
        <v>α^9</v>
      </c>
      <c r="N425" t="str">
        <f>'主翼(平面形)'!N425</f>
        <v>α^10</v>
      </c>
      <c r="O425" t="str">
        <f>'主翼(平面形)'!O425</f>
        <v>log(Re)^1</v>
      </c>
      <c r="P425" t="str">
        <f>'主翼(平面形)'!P425</f>
        <v>log(Re)^2</v>
      </c>
      <c r="Q425" t="str">
        <f>'主翼(平面形)'!Q425</f>
        <v>log(Re)^3</v>
      </c>
      <c r="R425" t="str">
        <f>'主翼(平面形)'!R425</f>
        <v>α·log(Re)</v>
      </c>
      <c r="S425" t="str">
        <f>'主翼(平面形)'!S425</f>
        <v>α^2·log(Re)</v>
      </c>
    </row>
    <row r="426" spans="2:19">
      <c r="B426" t="str">
        <f>'主翼(平面形)'!B426</f>
        <v>主翼翼型1</v>
      </c>
      <c r="C426" t="str">
        <f>'主翼(平面形)'!C426</f>
        <v>Cl</v>
      </c>
      <c r="D426">
        <f>'主翼(平面形)'!D426</f>
        <v>0.58555787305165952</v>
      </c>
      <c r="E426">
        <f>'主翼(平面形)'!E426</f>
        <v>0.11298911044070417</v>
      </c>
      <c r="F426">
        <f>'主翼(平面形)'!F426</f>
        <v>6.7184677929664916E-4</v>
      </c>
      <c r="G426">
        <f>'主翼(平面形)'!G426</f>
        <v>7.1352595937579006E-5</v>
      </c>
      <c r="H426">
        <f>'主翼(平面形)'!H426</f>
        <v>-3.4253837456565824E-5</v>
      </c>
      <c r="I426">
        <f>'主翼(平面形)'!I426</f>
        <v>-4.0727815124879385E-6</v>
      </c>
      <c r="J426">
        <f>'主翼(平面形)'!J426</f>
        <v>3.1008295704995209E-7</v>
      </c>
      <c r="K426">
        <f>'主翼(平面形)'!K426</f>
        <v>2.3374562021729315E-8</v>
      </c>
      <c r="L426">
        <f>'主翼(平面形)'!L426</f>
        <v>-1.4653756095986528E-9</v>
      </c>
      <c r="M426">
        <f>'主翼(平面形)'!M426</f>
        <v>-2.6886424160114602E-11</v>
      </c>
      <c r="N426">
        <f>'主翼(平面形)'!N426</f>
        <v>1.7459297343902192E-12</v>
      </c>
      <c r="O426">
        <f>'主翼(平面形)'!O426</f>
        <v>0</v>
      </c>
      <c r="P426">
        <f>'主翼(平面形)'!P426</f>
        <v>0</v>
      </c>
      <c r="Q426">
        <f>'主翼(平面形)'!Q426</f>
        <v>0</v>
      </c>
      <c r="R426">
        <f>'主翼(平面形)'!R426</f>
        <v>0</v>
      </c>
      <c r="S426">
        <f>'主翼(平面形)'!S426</f>
        <v>0</v>
      </c>
    </row>
    <row r="427" spans="2:19">
      <c r="B427">
        <f>'主翼(平面形)'!B427</f>
        <v>0</v>
      </c>
      <c r="C427" t="str">
        <f>'主翼(平面形)'!C427</f>
        <v>Cd</v>
      </c>
      <c r="D427">
        <f>'主翼(平面形)'!D427</f>
        <v>-9.7897106267391176E-2</v>
      </c>
      <c r="E427">
        <f>'主翼(平面形)'!E427</f>
        <v>-5.8490224672072735E-3</v>
      </c>
      <c r="F427">
        <f>'主翼(平面形)'!F427</f>
        <v>9.6556228400237825E-4</v>
      </c>
      <c r="G427">
        <f>'主翼(平面形)'!G427</f>
        <v>-2.5638805709258377E-6</v>
      </c>
      <c r="H427">
        <f>'主翼(平面形)'!H427</f>
        <v>-1.1634480761170202E-6</v>
      </c>
      <c r="I427">
        <f>'主翼(平面形)'!I427</f>
        <v>1.5226465531212546E-7</v>
      </c>
      <c r="J427">
        <f>'主翼(平面形)'!J427</f>
        <v>2.7159649338487528E-8</v>
      </c>
      <c r="K427">
        <f>'主翼(平面形)'!K427</f>
        <v>-2.345840728097363E-9</v>
      </c>
      <c r="L427">
        <f>'主翼(平面形)'!L427</f>
        <v>-9.3414127887416901E-11</v>
      </c>
      <c r="M427">
        <f>'主翼(平面形)'!M427</f>
        <v>1.2285723628928948E-11</v>
      </c>
      <c r="N427">
        <f>'主翼(平面形)'!N427</f>
        <v>-2.7637441133603145E-13</v>
      </c>
      <c r="O427">
        <f>'主翼(平面形)'!O427</f>
        <v>0.10590862744747484</v>
      </c>
      <c r="P427">
        <f>'主翼(平面形)'!P427</f>
        <v>-2.6173417429460104E-2</v>
      </c>
      <c r="Q427">
        <f>'主翼(平面形)'!Q427</f>
        <v>1.9068330221681184E-3</v>
      </c>
      <c r="R427">
        <f>'主翼(平面形)'!R427</f>
        <v>9.599353886337752E-4</v>
      </c>
      <c r="S427">
        <f>'主翼(平面形)'!S427</f>
        <v>-1.5149591208578748E-4</v>
      </c>
    </row>
    <row r="428" spans="2:19">
      <c r="B428">
        <f>'主翼(平面形)'!B428</f>
        <v>0</v>
      </c>
      <c r="C428" t="str">
        <f>'主翼(平面形)'!C428</f>
        <v>Cm</v>
      </c>
      <c r="D428">
        <f>'主翼(平面形)'!D428</f>
        <v>-0.42388711234752241</v>
      </c>
      <c r="E428">
        <f>'主翼(平面形)'!E428</f>
        <v>8.093097810770767E-3</v>
      </c>
      <c r="F428">
        <f>'主翼(平面形)'!F428</f>
        <v>-4.8476173731885121E-4</v>
      </c>
      <c r="G428">
        <f>'主翼(平面形)'!G428</f>
        <v>-8.8466835005442621E-6</v>
      </c>
      <c r="H428">
        <f>'主翼(平面形)'!H428</f>
        <v>9.6338115580381256E-6</v>
      </c>
      <c r="I428">
        <f>'主翼(平面形)'!I428</f>
        <v>4.4541123455313405E-7</v>
      </c>
      <c r="J428">
        <f>'主翼(平面形)'!J428</f>
        <v>-1.2412994954585833E-7</v>
      </c>
      <c r="K428">
        <f>'主翼(平面形)'!K428</f>
        <v>4.2180832142378502E-10</v>
      </c>
      <c r="L428">
        <f>'主翼(平面形)'!L428</f>
        <v>5.64708421255448E-10</v>
      </c>
      <c r="M428">
        <f>'主翼(平面形)'!M428</f>
        <v>-2.6068406243976864E-11</v>
      </c>
      <c r="N428">
        <f>'主翼(平面形)'!N428</f>
        <v>3.4383640963008599E-13</v>
      </c>
      <c r="O428">
        <f>'主翼(平面形)'!O428</f>
        <v>0.16581573720610307</v>
      </c>
      <c r="P428">
        <f>'主翼(平面形)'!P428</f>
        <v>-3.0556185931817945E-2</v>
      </c>
      <c r="Q428">
        <f>'主翼(平面形)'!Q428</f>
        <v>1.8582638373967914E-3</v>
      </c>
      <c r="R428">
        <f>'主翼(平面形)'!R428</f>
        <v>-1.4883655386506215E-3</v>
      </c>
      <c r="S428">
        <f>'主翼(平面形)'!S428</f>
        <v>5.9388274880353479E-5</v>
      </c>
    </row>
    <row r="429" spans="2:19">
      <c r="B429" t="str">
        <f>'主翼(平面形)'!B429</f>
        <v>主翼翼型2</v>
      </c>
      <c r="C429" t="str">
        <f>'主翼(平面形)'!C429</f>
        <v>Cl</v>
      </c>
      <c r="D429">
        <f>'主翼(平面形)'!D429</f>
        <v>0.62486730789014278</v>
      </c>
      <c r="E429">
        <f>'主翼(平面形)'!E429</f>
        <v>0.11212602806578069</v>
      </c>
      <c r="F429">
        <f>'主翼(平面形)'!F429</f>
        <v>2.925128405475088E-4</v>
      </c>
      <c r="G429">
        <f>'主翼(平面形)'!G429</f>
        <v>6.7318435054291768E-5</v>
      </c>
      <c r="H429">
        <f>'主翼(平面形)'!H429</f>
        <v>-2.7668816603542483E-5</v>
      </c>
      <c r="I429">
        <f>'主翼(平面形)'!I429</f>
        <v>-3.7529157198842012E-6</v>
      </c>
      <c r="J429">
        <f>'主翼(平面形)'!J429</f>
        <v>2.6291289163660801E-7</v>
      </c>
      <c r="K429">
        <f>'主翼(平面形)'!K429</f>
        <v>2.1137891478566365E-8</v>
      </c>
      <c r="L429">
        <f>'主翼(平面形)'!L429</f>
        <v>-1.2923534347556439E-9</v>
      </c>
      <c r="M429">
        <f>'主翼(平面形)'!M429</f>
        <v>-2.2571524017763865E-11</v>
      </c>
      <c r="N429">
        <f>'主翼(平面形)'!N429</f>
        <v>1.4897149148139084E-12</v>
      </c>
      <c r="O429">
        <f>'主翼(平面形)'!O429</f>
        <v>0</v>
      </c>
      <c r="P429">
        <f>'主翼(平面形)'!P429</f>
        <v>0</v>
      </c>
      <c r="Q429">
        <f>'主翼(平面形)'!Q429</f>
        <v>0</v>
      </c>
      <c r="R429">
        <f>'主翼(平面形)'!R429</f>
        <v>0</v>
      </c>
      <c r="S429">
        <f>'主翼(平面形)'!S429</f>
        <v>0</v>
      </c>
    </row>
    <row r="430" spans="2:19">
      <c r="B430">
        <f>'主翼(平面形)'!B430</f>
        <v>0</v>
      </c>
      <c r="C430" t="str">
        <f>'主翼(平面形)'!C430</f>
        <v>Cd</v>
      </c>
      <c r="D430">
        <f>'主翼(平面形)'!D430</f>
        <v>4.4188483683081592E-2</v>
      </c>
      <c r="E430">
        <f>'主翼(平面形)'!E430</f>
        <v>-7.0586425282384872E-3</v>
      </c>
      <c r="F430">
        <f>'主翼(平面形)'!F430</f>
        <v>1.0868095031240802E-3</v>
      </c>
      <c r="G430">
        <f>'主翼(平面形)'!G430</f>
        <v>-1.5010531798747028E-6</v>
      </c>
      <c r="H430">
        <f>'主翼(平面形)'!H430</f>
        <v>-4.7525184145440303E-7</v>
      </c>
      <c r="I430">
        <f>'主翼(平面形)'!I430</f>
        <v>1.0583695952656532E-7</v>
      </c>
      <c r="J430">
        <f>'主翼(平面形)'!J430</f>
        <v>1.5765514561369035E-8</v>
      </c>
      <c r="K430">
        <f>'主翼(平面形)'!K430</f>
        <v>-1.5467979893667304E-9</v>
      </c>
      <c r="L430">
        <f>'主翼(平面形)'!L430</f>
        <v>-4.5462446361609883E-11</v>
      </c>
      <c r="M430">
        <f>'主翼(平面形)'!M430</f>
        <v>7.2152388445220255E-12</v>
      </c>
      <c r="N430">
        <f>'主翼(平面形)'!N430</f>
        <v>-1.6843150214409363E-13</v>
      </c>
      <c r="O430">
        <f>'主翼(平面形)'!O430</f>
        <v>3.5165346336624312E-2</v>
      </c>
      <c r="P430">
        <f>'主翼(平面形)'!P430</f>
        <v>-1.4520754308691769E-2</v>
      </c>
      <c r="Q430">
        <f>'主翼(平面形)'!Q430</f>
        <v>1.2716720181294471E-3</v>
      </c>
      <c r="R430">
        <f>'主翼(平面形)'!R430</f>
        <v>1.1695571667698394E-3</v>
      </c>
      <c r="S430">
        <f>'主翼(平面形)'!S430</f>
        <v>-1.7285074039234062E-4</v>
      </c>
    </row>
    <row r="431" spans="2:19">
      <c r="B431">
        <f>'主翼(平面形)'!B431</f>
        <v>0</v>
      </c>
      <c r="C431" t="str">
        <f>'主翼(平面形)'!C431</f>
        <v>Cm</v>
      </c>
      <c r="D431">
        <f>'主翼(平面形)'!D431</f>
        <v>-0.52402261298844877</v>
      </c>
      <c r="E431">
        <f>'主翼(平面形)'!E431</f>
        <v>8.4179952497403492E-3</v>
      </c>
      <c r="F431">
        <f>'主翼(平面形)'!F431</f>
        <v>-4.2413123132110025E-4</v>
      </c>
      <c r="G431">
        <f>'主翼(平面形)'!G431</f>
        <v>8.4688686270320282E-6</v>
      </c>
      <c r="H431">
        <f>'主翼(平面形)'!H431</f>
        <v>6.2975426749961182E-6</v>
      </c>
      <c r="I431">
        <f>'主翼(平面形)'!I431</f>
        <v>1.187309388069292E-7</v>
      </c>
      <c r="J431">
        <f>'主翼(平面形)'!J431</f>
        <v>-6.4667586141895132E-8</v>
      </c>
      <c r="K431">
        <f>'主翼(平面形)'!K431</f>
        <v>4.7985072683884067E-10</v>
      </c>
      <c r="L431">
        <f>'主翼(平面形)'!L431</f>
        <v>2.3741511896911341E-10</v>
      </c>
      <c r="M431">
        <f>'主翼(平面形)'!M431</f>
        <v>-9.4528149892886105E-12</v>
      </c>
      <c r="N431">
        <f>'主翼(平面形)'!N431</f>
        <v>8.9750594822220334E-14</v>
      </c>
      <c r="O431">
        <f>'主翼(平面形)'!O431</f>
        <v>0.1833419853861929</v>
      </c>
      <c r="P431">
        <f>'主翼(平面形)'!P431</f>
        <v>-2.8100817580721991E-2</v>
      </c>
      <c r="Q431">
        <f>'主翼(平面形)'!Q431</f>
        <v>1.3727004981231709E-3</v>
      </c>
      <c r="R431">
        <f>'主翼(平面形)'!R431</f>
        <v>-1.540740091354742E-3</v>
      </c>
      <c r="S431">
        <f>'主翼(平面形)'!S431</f>
        <v>6.417383224652137E-5</v>
      </c>
    </row>
    <row r="432" spans="2:19">
      <c r="B432" t="str">
        <f>'主翼(平面形)'!B432</f>
        <v>主翼翼型3</v>
      </c>
      <c r="C432" t="str">
        <f>'主翼(平面形)'!C432</f>
        <v>Cl</v>
      </c>
      <c r="D432">
        <f>'主翼(平面形)'!D432</f>
        <v>0.39686508855221359</v>
      </c>
      <c r="E432">
        <f>'主翼(平面形)'!E432</f>
        <v>0.113843810347154</v>
      </c>
      <c r="F432">
        <f>'主翼(平面形)'!F432</f>
        <v>2.9276023619042603E-4</v>
      </c>
      <c r="G432">
        <f>'主翼(平面形)'!G432</f>
        <v>-7.7811518991310354E-5</v>
      </c>
      <c r="H432">
        <f>'主翼(平面形)'!H432</f>
        <v>-1.5079961798220703E-5</v>
      </c>
      <c r="I432">
        <f>'主翼(平面形)'!I432</f>
        <v>-9.6909310776807971E-8</v>
      </c>
      <c r="J432">
        <f>'主翼(平面形)'!J432</f>
        <v>7.6265099270947341E-8</v>
      </c>
      <c r="K432">
        <f>'主翼(平面形)'!K432</f>
        <v>-1.6293344404527428E-9</v>
      </c>
      <c r="L432">
        <f>'主翼(平面形)'!L432</f>
        <v>-2.2684129766999399E-11</v>
      </c>
      <c r="M432">
        <f>'主翼(平面形)'!M432</f>
        <v>-4.732106478336137E-12</v>
      </c>
      <c r="N432">
        <f>'主翼(平面形)'!N432</f>
        <v>2.189173936331361E-13</v>
      </c>
      <c r="O432">
        <f>'主翼(平面形)'!O432</f>
        <v>0</v>
      </c>
      <c r="P432">
        <f>'主翼(平面形)'!P432</f>
        <v>0</v>
      </c>
      <c r="Q432">
        <f>'主翼(平面形)'!Q432</f>
        <v>0</v>
      </c>
      <c r="R432">
        <f>'主翼(平面形)'!R432</f>
        <v>0</v>
      </c>
      <c r="S432">
        <f>'主翼(平面形)'!S432</f>
        <v>0</v>
      </c>
    </row>
    <row r="433" spans="2:19">
      <c r="B433">
        <f>'主翼(平面形)'!B433</f>
        <v>0</v>
      </c>
      <c r="C433" t="str">
        <f>'主翼(平面形)'!C433</f>
        <v>Cd</v>
      </c>
      <c r="D433">
        <f>'主翼(平面形)'!D433</f>
        <v>0.21538780223796011</v>
      </c>
      <c r="E433">
        <f>'主翼(平面形)'!E433</f>
        <v>-4.9116414864050252E-3</v>
      </c>
      <c r="F433">
        <f>'主翼(平面形)'!F433</f>
        <v>9.6461803429076824E-4</v>
      </c>
      <c r="G433">
        <f>'主翼(平面形)'!G433</f>
        <v>1.0205359500872517E-5</v>
      </c>
      <c r="H433">
        <f>'主翼(平面形)'!H433</f>
        <v>-3.3467739531323353E-7</v>
      </c>
      <c r="I433">
        <f>'主翼(平面形)'!I433</f>
        <v>-1.3756842738485428E-7</v>
      </c>
      <c r="J433">
        <f>'主翼(平面形)'!J433</f>
        <v>8.3756320958298171E-9</v>
      </c>
      <c r="K433">
        <f>'主翼(平面形)'!K433</f>
        <v>5.3647003257026362E-10</v>
      </c>
      <c r="L433">
        <f>'主翼(平面形)'!L433</f>
        <v>-3.3563344999081503E-11</v>
      </c>
      <c r="M433">
        <f>'主翼(平面形)'!M433</f>
        <v>1.910085933340279E-14</v>
      </c>
      <c r="N433">
        <f>'主翼(平面形)'!N433</f>
        <v>1.139139907395922E-14</v>
      </c>
      <c r="O433">
        <f>'主翼(平面形)'!O433</f>
        <v>-5.2063882853515375E-2</v>
      </c>
      <c r="P433">
        <f>'主翼(平面形)'!P433</f>
        <v>3.9275816520679458E-5</v>
      </c>
      <c r="Q433">
        <f>'主翼(平面形)'!Q433</f>
        <v>4.7294297048208327E-4</v>
      </c>
      <c r="R433">
        <f>'主翼(平面形)'!R433</f>
        <v>7.756671753346014E-4</v>
      </c>
      <c r="S433">
        <f>'主翼(平面形)'!S433</f>
        <v>-1.481948189298954E-4</v>
      </c>
    </row>
    <row r="434" spans="2:19">
      <c r="B434">
        <f>'主翼(平面形)'!B434</f>
        <v>0</v>
      </c>
      <c r="C434" t="str">
        <f>'主翼(平面形)'!C434</f>
        <v>Cm</v>
      </c>
      <c r="D434">
        <f>'主翼(平面形)'!D434</f>
        <v>-0.42492666890858222</v>
      </c>
      <c r="E434">
        <f>'主翼(平面形)'!E434</f>
        <v>1.4321079707234875E-2</v>
      </c>
      <c r="F434">
        <f>'主翼(平面形)'!F434</f>
        <v>-4.7623659372709662E-4</v>
      </c>
      <c r="G434">
        <f>'主翼(平面形)'!G434</f>
        <v>-2.3147404191102458E-6</v>
      </c>
      <c r="H434">
        <f>'主翼(平面形)'!H434</f>
        <v>1.6611779543344418E-6</v>
      </c>
      <c r="I434">
        <f>'主翼(平面形)'!I434</f>
        <v>2.4655166868353882E-7</v>
      </c>
      <c r="J434">
        <f>'主翼(平面形)'!J434</f>
        <v>-1.5705136942136027E-8</v>
      </c>
      <c r="K434">
        <f>'主翼(平面形)'!K434</f>
        <v>-1.4037185580893538E-9</v>
      </c>
      <c r="L434">
        <f>'主翼(平面形)'!L434</f>
        <v>7.6634626434975749E-11</v>
      </c>
      <c r="M434">
        <f>'主翼(平面形)'!M434</f>
        <v>1.0162770779871759E-12</v>
      </c>
      <c r="N434">
        <f>'主翼(平面形)'!N434</f>
        <v>-6.7121802823361982E-14</v>
      </c>
      <c r="O434">
        <f>'主翼(平面形)'!O434</f>
        <v>9.3869240202734863E-2</v>
      </c>
      <c r="P434">
        <f>'主翼(平面形)'!P434</f>
        <v>-1.8534844348527513E-3</v>
      </c>
      <c r="Q434">
        <f>'主翼(平面形)'!Q434</f>
        <v>-7.144797769578704E-4</v>
      </c>
      <c r="R434">
        <f>'主翼(平面形)'!R434</f>
        <v>-2.4955289300262391E-3</v>
      </c>
      <c r="S434">
        <f>'主翼(平面形)'!S434</f>
        <v>8.2413839375234437E-5</v>
      </c>
    </row>
    <row r="435" spans="2:19">
      <c r="B435" t="str">
        <f>'主翼(平面形)'!B435</f>
        <v>主翼翼型4</v>
      </c>
      <c r="C435" t="str">
        <f>'主翼(平面形)'!C435</f>
        <v>Cl</v>
      </c>
      <c r="D435">
        <f>'主翼(平面形)'!D435</f>
        <v>0.50386537195569536</v>
      </c>
      <c r="E435">
        <f>'主翼(平面形)'!E435</f>
        <v>0.11517317579948429</v>
      </c>
      <c r="F435">
        <f>'主翼(平面形)'!F435</f>
        <v>2.3729276956796644E-3</v>
      </c>
      <c r="G435">
        <f>'主翼(平面形)'!G435</f>
        <v>-4.5445260061831244E-5</v>
      </c>
      <c r="H435">
        <f>'主翼(平面形)'!H435</f>
        <v>-9.3668290578557159E-5</v>
      </c>
      <c r="I435">
        <f>'主翼(平面形)'!I435</f>
        <v>-2.1308472233472673E-6</v>
      </c>
      <c r="J435">
        <f>'主翼(平面形)'!J435</f>
        <v>9.5309704973939763E-7</v>
      </c>
      <c r="K435">
        <f>'主翼(平面形)'!K435</f>
        <v>-6.9963948368240522E-9</v>
      </c>
      <c r="L435">
        <f>'主翼(平面形)'!L435</f>
        <v>-3.570547399869297E-9</v>
      </c>
      <c r="M435">
        <f>'主翼(平面形)'!M435</f>
        <v>1.4164862889628918E-10</v>
      </c>
      <c r="N435">
        <f>'主翼(平面形)'!N435</f>
        <v>-1.2982893050026378E-12</v>
      </c>
      <c r="O435">
        <f>'主翼(平面形)'!O435</f>
        <v>0</v>
      </c>
      <c r="P435">
        <f>'主翼(平面形)'!P435</f>
        <v>0</v>
      </c>
      <c r="Q435">
        <f>'主翼(平面形)'!Q435</f>
        <v>0</v>
      </c>
      <c r="R435">
        <f>'主翼(平面形)'!R435</f>
        <v>0</v>
      </c>
      <c r="S435">
        <f>'主翼(平面形)'!S435</f>
        <v>0</v>
      </c>
    </row>
    <row r="436" spans="2:19">
      <c r="B436">
        <f>'主翼(平面形)'!B436</f>
        <v>0</v>
      </c>
      <c r="C436" t="str">
        <f>'主翼(平面形)'!C436</f>
        <v>Cd</v>
      </c>
      <c r="D436">
        <f>'主翼(平面形)'!D436</f>
        <v>0.17148275289129128</v>
      </c>
      <c r="E436">
        <f>'主翼(平面形)'!E436</f>
        <v>-2.714776602150634E-3</v>
      </c>
      <c r="F436">
        <f>'主翼(平面形)'!F436</f>
        <v>8.0055176042167402E-4</v>
      </c>
      <c r="G436">
        <f>'主翼(平面形)'!G436</f>
        <v>-5.754352118348657E-6</v>
      </c>
      <c r="H436">
        <f>'主翼(平面形)'!H436</f>
        <v>1.7850360635602802E-6</v>
      </c>
      <c r="I436">
        <f>'主翼(平面形)'!I436</f>
        <v>2.4859769174037835E-7</v>
      </c>
      <c r="J436">
        <f>'主翼(平面形)'!J436</f>
        <v>-1.3990725256919326E-8</v>
      </c>
      <c r="K436">
        <f>'主翼(平面形)'!K436</f>
        <v>-1.6478176242693576E-9</v>
      </c>
      <c r="L436">
        <f>'主翼(平面形)'!L436</f>
        <v>8.5007988914851212E-11</v>
      </c>
      <c r="M436">
        <f>'主翼(平面形)'!M436</f>
        <v>2.1079649439325808E-12</v>
      </c>
      <c r="N436">
        <f>'主翼(平面形)'!N436</f>
        <v>-1.1433941926667621E-13</v>
      </c>
      <c r="O436">
        <f>'主翼(平面形)'!O436</f>
        <v>-4.2664837074197805E-2</v>
      </c>
      <c r="P436">
        <f>'主翼(平面形)'!P436</f>
        <v>6.7708798174980975E-4</v>
      </c>
      <c r="Q436">
        <f>'主翼(平面形)'!Q436</f>
        <v>3.1541674451592282E-4</v>
      </c>
      <c r="R436">
        <f>'主翼(平面形)'!R436</f>
        <v>4.1681970965499934E-4</v>
      </c>
      <c r="S436">
        <f>'主翼(平面形)'!S436</f>
        <v>-1.3622206605793454E-4</v>
      </c>
    </row>
    <row r="437" spans="2:19">
      <c r="B437">
        <f>'主翼(平面形)'!B437</f>
        <v>0</v>
      </c>
      <c r="C437" t="str">
        <f>'主翼(平面形)'!C437</f>
        <v>Cm</v>
      </c>
      <c r="D437">
        <f>'主翼(平面形)'!D437</f>
        <v>-0.32224524264417864</v>
      </c>
      <c r="E437">
        <f>'主翼(平面形)'!E437</f>
        <v>3.1308081334259917E-3</v>
      </c>
      <c r="F437">
        <f>'主翼(平面形)'!F437</f>
        <v>-6.3363802672032274E-4</v>
      </c>
      <c r="G437">
        <f>'主翼(平面形)'!G437</f>
        <v>6.8337512979873619E-5</v>
      </c>
      <c r="H437">
        <f>'主翼(平面形)'!H437</f>
        <v>1.6537294930076717E-5</v>
      </c>
      <c r="I437">
        <f>'主翼(平面形)'!I437</f>
        <v>-9.2223226253483383E-7</v>
      </c>
      <c r="J437">
        <f>'主翼(平面形)'!J437</f>
        <v>-1.7197289629672352E-7</v>
      </c>
      <c r="K437">
        <f>'主翼(平面形)'!K437</f>
        <v>1.0747491178857151E-8</v>
      </c>
      <c r="L437">
        <f>'主翼(平面形)'!L437</f>
        <v>4.9842928079220825E-10</v>
      </c>
      <c r="M437">
        <f>'主翼(平面形)'!M437</f>
        <v>-5.0157385333177268E-11</v>
      </c>
      <c r="N437">
        <f>'主翼(平面形)'!N437</f>
        <v>9.9272155773933074E-13</v>
      </c>
      <c r="O437">
        <f>'主翼(平面形)'!O437</f>
        <v>0.10705990395800717</v>
      </c>
      <c r="P437">
        <f>'主翼(平面形)'!P437</f>
        <v>-1.7395485735556371E-2</v>
      </c>
      <c r="Q437">
        <f>'主翼(平面形)'!Q437</f>
        <v>9.0859453886682983E-4</v>
      </c>
      <c r="R437">
        <f>'主翼(平面形)'!R437</f>
        <v>-8.6755857117190235E-4</v>
      </c>
      <c r="S437">
        <f>'主翼(平面形)'!S437</f>
        <v>4.6318589987418566E-5</v>
      </c>
    </row>
    <row r="438" spans="2:19">
      <c r="B438" t="str">
        <f>'主翼(平面形)'!B438</f>
        <v>主翼翼型5</v>
      </c>
      <c r="C438" t="str">
        <f>'主翼(平面形)'!C438</f>
        <v>Cl</v>
      </c>
      <c r="D438">
        <f>'主翼(平面形)'!D438</f>
        <v>0.50386537195569536</v>
      </c>
      <c r="E438">
        <f>'主翼(平面形)'!E438</f>
        <v>0.11517317579948429</v>
      </c>
      <c r="F438">
        <f>'主翼(平面形)'!F438</f>
        <v>2.3729276956796644E-3</v>
      </c>
      <c r="G438">
        <f>'主翼(平面形)'!G438</f>
        <v>-4.5445260061831244E-5</v>
      </c>
      <c r="H438">
        <f>'主翼(平面形)'!H438</f>
        <v>-9.3668290578557159E-5</v>
      </c>
      <c r="I438">
        <f>'主翼(平面形)'!I438</f>
        <v>-2.1308472233472673E-6</v>
      </c>
      <c r="J438">
        <f>'主翼(平面形)'!J438</f>
        <v>9.5309704973939763E-7</v>
      </c>
      <c r="K438">
        <f>'主翼(平面形)'!K438</f>
        <v>-6.9963948368240522E-9</v>
      </c>
      <c r="L438">
        <f>'主翼(平面形)'!L438</f>
        <v>-3.570547399869297E-9</v>
      </c>
      <c r="M438">
        <f>'主翼(平面形)'!M438</f>
        <v>1.4164862889628918E-10</v>
      </c>
      <c r="N438">
        <f>'主翼(平面形)'!N438</f>
        <v>-1.2982893050026378E-12</v>
      </c>
      <c r="O438">
        <f>'主翼(平面形)'!O438</f>
        <v>0</v>
      </c>
      <c r="P438">
        <f>'主翼(平面形)'!P438</f>
        <v>0</v>
      </c>
      <c r="Q438">
        <f>'主翼(平面形)'!Q438</f>
        <v>0</v>
      </c>
      <c r="R438">
        <f>'主翼(平面形)'!R438</f>
        <v>0</v>
      </c>
      <c r="S438">
        <f>'主翼(平面形)'!S438</f>
        <v>0</v>
      </c>
    </row>
    <row r="439" spans="2:19">
      <c r="B439">
        <f>'主翼(平面形)'!B439</f>
        <v>0</v>
      </c>
      <c r="C439" t="str">
        <f>'主翼(平面形)'!C439</f>
        <v>Cd</v>
      </c>
      <c r="D439">
        <f>'主翼(平面形)'!D439</f>
        <v>0.17148275289129128</v>
      </c>
      <c r="E439">
        <f>'主翼(平面形)'!E439</f>
        <v>-2.714776602150634E-3</v>
      </c>
      <c r="F439">
        <f>'主翼(平面形)'!F439</f>
        <v>8.0055176042167402E-4</v>
      </c>
      <c r="G439">
        <f>'主翼(平面形)'!G439</f>
        <v>-5.754352118348657E-6</v>
      </c>
      <c r="H439">
        <f>'主翼(平面形)'!H439</f>
        <v>1.7850360635602802E-6</v>
      </c>
      <c r="I439">
        <f>'主翼(平面形)'!I439</f>
        <v>2.4859769174037835E-7</v>
      </c>
      <c r="J439">
        <f>'主翼(平面形)'!J439</f>
        <v>-1.3990725256919326E-8</v>
      </c>
      <c r="K439">
        <f>'主翼(平面形)'!K439</f>
        <v>-1.6478176242693576E-9</v>
      </c>
      <c r="L439">
        <f>'主翼(平面形)'!L439</f>
        <v>8.5007988914851212E-11</v>
      </c>
      <c r="M439">
        <f>'主翼(平面形)'!M439</f>
        <v>2.1079649439325808E-12</v>
      </c>
      <c r="N439">
        <f>'主翼(平面形)'!N439</f>
        <v>-1.1433941926667621E-13</v>
      </c>
      <c r="O439">
        <f>'主翼(平面形)'!O439</f>
        <v>-4.2664837074197805E-2</v>
      </c>
      <c r="P439">
        <f>'主翼(平面形)'!P439</f>
        <v>6.7708798174980975E-4</v>
      </c>
      <c r="Q439">
        <f>'主翼(平面形)'!Q439</f>
        <v>3.1541674451592282E-4</v>
      </c>
      <c r="R439">
        <f>'主翼(平面形)'!R439</f>
        <v>4.1681970965499934E-4</v>
      </c>
      <c r="S439">
        <f>'主翼(平面形)'!S439</f>
        <v>-1.3622206605793454E-4</v>
      </c>
    </row>
    <row r="440" spans="2:19">
      <c r="B440">
        <f>'主翼(平面形)'!B440</f>
        <v>0</v>
      </c>
      <c r="C440" t="str">
        <f>'主翼(平面形)'!C440</f>
        <v>Cm</v>
      </c>
      <c r="D440">
        <f>'主翼(平面形)'!D440</f>
        <v>-0.32224524264417864</v>
      </c>
      <c r="E440">
        <f>'主翼(平面形)'!E440</f>
        <v>3.1308081334259917E-3</v>
      </c>
      <c r="F440">
        <f>'主翼(平面形)'!F440</f>
        <v>-6.3363802672032274E-4</v>
      </c>
      <c r="G440">
        <f>'主翼(平面形)'!G440</f>
        <v>6.8337512979873619E-5</v>
      </c>
      <c r="H440">
        <f>'主翼(平面形)'!H440</f>
        <v>1.6537294930076717E-5</v>
      </c>
      <c r="I440">
        <f>'主翼(平面形)'!I440</f>
        <v>-9.2223226253483383E-7</v>
      </c>
      <c r="J440">
        <f>'主翼(平面形)'!J440</f>
        <v>-1.7197289629672352E-7</v>
      </c>
      <c r="K440">
        <f>'主翼(平面形)'!K440</f>
        <v>1.0747491178857151E-8</v>
      </c>
      <c r="L440">
        <f>'主翼(平面形)'!L440</f>
        <v>4.9842928079220825E-10</v>
      </c>
      <c r="M440">
        <f>'主翼(平面形)'!M440</f>
        <v>-5.0157385333177268E-11</v>
      </c>
      <c r="N440">
        <f>'主翼(平面形)'!N440</f>
        <v>9.9272155773933074E-13</v>
      </c>
      <c r="O440">
        <f>'主翼(平面形)'!O440</f>
        <v>0.10705990395800717</v>
      </c>
      <c r="P440">
        <f>'主翼(平面形)'!P440</f>
        <v>-1.7395485735556371E-2</v>
      </c>
      <c r="Q440">
        <f>'主翼(平面形)'!Q440</f>
        <v>9.0859453886682983E-4</v>
      </c>
      <c r="R440">
        <f>'主翼(平面形)'!R440</f>
        <v>-8.6755857117190235E-4</v>
      </c>
      <c r="S440">
        <f>'主翼(平面形)'!S440</f>
        <v>4.6318589987418566E-5</v>
      </c>
    </row>
  </sheetData>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0354" r:id="rId3" name="Button 2">
              <controlPr defaultSize="0" print="0" autoFill="0" autoPict="0" macro="[0]!LLT_result">
                <anchor moveWithCells="1" sizeWithCells="1">
                  <from>
                    <xdr:col>8</xdr:col>
                    <xdr:colOff>9525</xdr:colOff>
                    <xdr:row>2</xdr:row>
                    <xdr:rowOff>0</xdr:rowOff>
                  </from>
                  <to>
                    <xdr:col>9</xdr:col>
                    <xdr:colOff>0</xdr:colOff>
                    <xdr:row>3</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97545-0835-440F-A645-E2D8F1932902}">
  <sheetPr codeName="Sheet10">
    <tabColor theme="5" tint="0.79998168889431442"/>
  </sheetPr>
  <dimension ref="A1:BJ173"/>
  <sheetViews>
    <sheetView topLeftCell="A3" zoomScale="52" zoomScaleNormal="58" workbookViewId="0">
      <selection activeCell="AQ46" sqref="AQ46"/>
    </sheetView>
  </sheetViews>
  <sheetFormatPr defaultRowHeight="18.75"/>
  <cols>
    <col min="2" max="2" width="10.375" customWidth="1"/>
    <col min="3" max="9" width="9.125" bestFit="1" customWidth="1"/>
    <col min="10" max="12" width="10.25" bestFit="1" customWidth="1"/>
    <col min="13" max="13" width="9.125" bestFit="1" customWidth="1"/>
    <col min="14" max="17" width="9.25" bestFit="1" customWidth="1"/>
    <col min="18" max="19" width="10.375" bestFit="1" customWidth="1"/>
    <col min="20" max="23" width="9.125" bestFit="1" customWidth="1"/>
    <col min="25" max="27" width="9.125" bestFit="1" customWidth="1"/>
    <col min="28" max="31" width="9.25" bestFit="1" customWidth="1"/>
    <col min="32" max="32" width="9.375" bestFit="1" customWidth="1"/>
    <col min="33" max="37" width="9.25" bestFit="1" customWidth="1"/>
    <col min="38" max="38" width="9.625" bestFit="1" customWidth="1"/>
    <col min="39" max="43" width="9.125" bestFit="1" customWidth="1"/>
    <col min="44" max="44" width="9.625" bestFit="1" customWidth="1"/>
    <col min="45" max="45" width="9.125" bestFit="1" customWidth="1"/>
    <col min="46" max="46" width="10.875" bestFit="1" customWidth="1"/>
    <col min="49" max="50" width="9.125" bestFit="1" customWidth="1"/>
    <col min="54" max="54" width="9.125" bestFit="1" customWidth="1"/>
    <col min="58" max="59" width="9.125" bestFit="1" customWidth="1"/>
    <col min="60" max="60" width="17" customWidth="1"/>
  </cols>
  <sheetData>
    <row r="1" spans="1:62">
      <c r="A1" s="21"/>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20"/>
      <c r="AO1" s="19"/>
      <c r="AP1" s="19"/>
      <c r="AQ1" s="19"/>
      <c r="AR1" s="19"/>
      <c r="AS1" s="19"/>
      <c r="AT1" s="19"/>
      <c r="AU1" s="19"/>
      <c r="AV1" s="19"/>
      <c r="AW1" s="19"/>
      <c r="AX1" s="20"/>
      <c r="AY1" s="19"/>
      <c r="AZ1" s="19"/>
      <c r="BA1" s="19"/>
      <c r="BB1" s="19"/>
      <c r="BC1" s="19"/>
      <c r="BD1" s="19"/>
      <c r="BE1" s="19"/>
      <c r="BF1" s="19"/>
      <c r="BG1" s="19"/>
      <c r="BH1" s="19"/>
      <c r="BI1" s="19"/>
      <c r="BJ1" s="19"/>
    </row>
    <row r="2" spans="1:62">
      <c r="A2" s="22"/>
      <c r="B2" s="23" t="s">
        <v>842</v>
      </c>
      <c r="C2" s="23"/>
      <c r="D2" s="23"/>
      <c r="E2" s="23"/>
      <c r="F2" s="23"/>
      <c r="G2" s="23"/>
      <c r="H2" s="23"/>
      <c r="I2" s="23"/>
      <c r="J2" s="23"/>
      <c r="K2" s="23"/>
      <c r="L2" s="23" t="s">
        <v>843</v>
      </c>
      <c r="M2" s="23"/>
      <c r="N2" s="23" t="s">
        <v>619</v>
      </c>
      <c r="O2" s="23"/>
      <c r="P2" s="23"/>
      <c r="Q2" s="23"/>
      <c r="R2" s="23" t="s">
        <v>620</v>
      </c>
      <c r="S2" s="23"/>
      <c r="T2" s="23"/>
      <c r="U2" s="23"/>
      <c r="V2" s="23" t="s">
        <v>621</v>
      </c>
      <c r="W2" s="23"/>
      <c r="X2" s="23"/>
      <c r="Y2" s="23"/>
      <c r="Z2" s="23" t="s">
        <v>622</v>
      </c>
      <c r="AA2" s="23"/>
      <c r="AB2" s="23"/>
      <c r="AC2" s="23"/>
      <c r="AD2" s="23" t="s">
        <v>844</v>
      </c>
      <c r="AE2" s="23"/>
      <c r="AF2" s="23" t="s">
        <v>845</v>
      </c>
      <c r="AG2" s="23"/>
      <c r="AH2" s="23" t="s">
        <v>846</v>
      </c>
      <c r="AI2" s="23"/>
      <c r="AJ2" s="23" t="s">
        <v>847</v>
      </c>
      <c r="AK2" s="23"/>
      <c r="AL2" s="23" t="s">
        <v>943</v>
      </c>
      <c r="AM2" s="23"/>
      <c r="AN2" s="24"/>
      <c r="AO2" s="23"/>
      <c r="AP2" s="23" t="s">
        <v>848</v>
      </c>
      <c r="AQ2" s="23"/>
      <c r="AR2" s="23"/>
      <c r="AS2" s="23"/>
      <c r="AT2" s="23"/>
      <c r="AU2" s="23"/>
      <c r="AV2" s="23"/>
      <c r="AW2" s="23"/>
      <c r="AX2" s="24"/>
      <c r="AY2" s="23"/>
      <c r="AZ2" s="23"/>
      <c r="BA2" s="23"/>
      <c r="BB2" s="23"/>
      <c r="BC2" s="23"/>
      <c r="BD2" s="23"/>
      <c r="BE2" s="23"/>
      <c r="BF2" s="23"/>
      <c r="BG2" s="23"/>
      <c r="BH2" s="23"/>
      <c r="BI2" s="23"/>
      <c r="BJ2" s="23"/>
    </row>
    <row r="3" spans="1:62" ht="19.5" thickBot="1">
      <c r="A3" s="22"/>
      <c r="B3" s="2" t="s">
        <v>849</v>
      </c>
      <c r="C3" s="2" t="s">
        <v>850</v>
      </c>
      <c r="D3" s="2" t="s">
        <v>570</v>
      </c>
      <c r="E3" s="2" t="s">
        <v>851</v>
      </c>
      <c r="F3" s="2" t="s">
        <v>852</v>
      </c>
      <c r="G3" s="2" t="s">
        <v>475</v>
      </c>
      <c r="H3" s="2" t="s">
        <v>853</v>
      </c>
      <c r="I3" s="2" t="s">
        <v>854</v>
      </c>
      <c r="J3" s="152" t="s">
        <v>855</v>
      </c>
      <c r="K3" s="23"/>
      <c r="L3" s="2"/>
      <c r="M3" s="2" t="s">
        <v>757</v>
      </c>
      <c r="N3" s="2" t="s">
        <v>856</v>
      </c>
      <c r="O3" s="2" t="s">
        <v>857</v>
      </c>
      <c r="P3" s="2" t="s">
        <v>858</v>
      </c>
      <c r="Q3" s="2" t="s">
        <v>859</v>
      </c>
      <c r="R3" s="2" t="s">
        <v>856</v>
      </c>
      <c r="S3" s="2" t="s">
        <v>857</v>
      </c>
      <c r="T3" s="2" t="s">
        <v>858</v>
      </c>
      <c r="U3" s="2" t="s">
        <v>859</v>
      </c>
      <c r="V3" s="2" t="s">
        <v>856</v>
      </c>
      <c r="W3" s="2" t="s">
        <v>857</v>
      </c>
      <c r="X3" s="2" t="s">
        <v>858</v>
      </c>
      <c r="Y3" s="2" t="s">
        <v>859</v>
      </c>
      <c r="Z3" s="2" t="s">
        <v>856</v>
      </c>
      <c r="AA3" s="2" t="s">
        <v>857</v>
      </c>
      <c r="AB3" s="2" t="s">
        <v>858</v>
      </c>
      <c r="AC3" s="2" t="s">
        <v>859</v>
      </c>
      <c r="AD3" s="2" t="s">
        <v>860</v>
      </c>
      <c r="AE3" s="2" t="s">
        <v>659</v>
      </c>
      <c r="AF3" s="2" t="s">
        <v>860</v>
      </c>
      <c r="AG3" s="2" t="s">
        <v>659</v>
      </c>
      <c r="AH3" s="2" t="s">
        <v>860</v>
      </c>
      <c r="AI3" s="2" t="s">
        <v>659</v>
      </c>
      <c r="AJ3" s="2" t="s">
        <v>860</v>
      </c>
      <c r="AK3" s="2" t="s">
        <v>659</v>
      </c>
      <c r="AL3" s="2" t="s">
        <v>860</v>
      </c>
      <c r="AM3" s="2" t="s">
        <v>659</v>
      </c>
      <c r="AN3" s="24"/>
      <c r="AO3" s="23"/>
      <c r="AP3" s="85" t="s">
        <v>260</v>
      </c>
      <c r="AQ3" s="85" t="s">
        <v>261</v>
      </c>
      <c r="AR3" s="85" t="s">
        <v>262</v>
      </c>
      <c r="AS3" s="85" t="s">
        <v>263</v>
      </c>
      <c r="AT3" s="23"/>
      <c r="AU3" s="23"/>
      <c r="AV3" s="23"/>
      <c r="AW3" s="23"/>
      <c r="AX3" s="24"/>
      <c r="AY3" s="23"/>
      <c r="AZ3" s="23"/>
      <c r="BA3" s="23"/>
      <c r="BB3" s="23"/>
      <c r="BC3" s="23"/>
      <c r="BD3" s="23"/>
      <c r="BE3" s="23"/>
      <c r="BF3" s="23"/>
      <c r="BG3" s="23"/>
      <c r="BH3" s="23"/>
      <c r="BI3" s="23"/>
      <c r="BJ3" s="23"/>
    </row>
    <row r="4" spans="1:62" ht="19.5" thickTop="1">
      <c r="A4" s="22"/>
      <c r="B4" s="6" t="s">
        <v>142</v>
      </c>
      <c r="C4" s="6" t="s">
        <v>722</v>
      </c>
      <c r="D4" s="6" t="s">
        <v>142</v>
      </c>
      <c r="E4" s="6" t="s">
        <v>142</v>
      </c>
      <c r="F4" s="6" t="s">
        <v>781</v>
      </c>
      <c r="G4" s="6" t="s">
        <v>765</v>
      </c>
      <c r="H4" s="6" t="s">
        <v>328</v>
      </c>
      <c r="I4" s="6" t="s">
        <v>764</v>
      </c>
      <c r="J4" s="6" t="s">
        <v>327</v>
      </c>
      <c r="K4" s="23"/>
      <c r="L4" s="2"/>
      <c r="M4" s="6" t="s">
        <v>538</v>
      </c>
      <c r="N4" s="6" t="s">
        <v>861</v>
      </c>
      <c r="O4" s="6" t="s">
        <v>862</v>
      </c>
      <c r="P4" s="6" t="s">
        <v>863</v>
      </c>
      <c r="Q4" s="6" t="s">
        <v>861</v>
      </c>
      <c r="R4" s="6" t="s">
        <v>862</v>
      </c>
      <c r="S4" s="6" t="s">
        <v>863</v>
      </c>
      <c r="T4" s="6" t="s">
        <v>864</v>
      </c>
      <c r="U4" s="6" t="s">
        <v>865</v>
      </c>
      <c r="V4" s="6" t="s">
        <v>866</v>
      </c>
      <c r="W4" s="6" t="s">
        <v>867</v>
      </c>
      <c r="X4" s="6" t="s">
        <v>868</v>
      </c>
      <c r="Y4" s="6" t="s">
        <v>865</v>
      </c>
      <c r="Z4" s="6" t="s">
        <v>866</v>
      </c>
      <c r="AA4" s="6" t="s">
        <v>867</v>
      </c>
      <c r="AB4" s="6" t="s">
        <v>868</v>
      </c>
      <c r="AC4" s="6" t="s">
        <v>865</v>
      </c>
      <c r="AD4" s="6" t="s">
        <v>142</v>
      </c>
      <c r="AE4" s="6" t="s">
        <v>142</v>
      </c>
      <c r="AF4" s="6" t="s">
        <v>142</v>
      </c>
      <c r="AG4" s="6" t="s">
        <v>142</v>
      </c>
      <c r="AH4" s="6" t="s">
        <v>142</v>
      </c>
      <c r="AI4" s="6" t="s">
        <v>142</v>
      </c>
      <c r="AJ4" s="6" t="s">
        <v>142</v>
      </c>
      <c r="AK4" s="6" t="s">
        <v>142</v>
      </c>
      <c r="AL4" s="6"/>
      <c r="AM4" s="6"/>
      <c r="AN4" s="24"/>
      <c r="AO4" s="23"/>
      <c r="AP4" s="12" t="s">
        <v>440</v>
      </c>
      <c r="AQ4" s="12" t="s">
        <v>142</v>
      </c>
      <c r="AR4" s="12">
        <v>1500</v>
      </c>
      <c r="AS4" s="12" t="s">
        <v>387</v>
      </c>
      <c r="AT4" s="23"/>
      <c r="AU4" s="23"/>
      <c r="AV4" s="23"/>
      <c r="AW4" s="23"/>
      <c r="AX4" s="24"/>
      <c r="AY4" s="23"/>
      <c r="AZ4" s="23"/>
      <c r="BA4" s="23"/>
      <c r="BB4" s="23"/>
      <c r="BC4" s="23"/>
      <c r="BD4" s="23"/>
      <c r="BE4" s="23"/>
      <c r="BF4" s="23"/>
      <c r="BG4" s="23"/>
      <c r="BH4" s="23"/>
      <c r="BI4" s="23"/>
      <c r="BJ4" s="23"/>
    </row>
    <row r="5" spans="1:62">
      <c r="A5" s="22"/>
      <c r="B5" s="6" t="s">
        <v>142</v>
      </c>
      <c r="C5" s="6" t="s">
        <v>869</v>
      </c>
      <c r="D5" s="6" t="s">
        <v>869</v>
      </c>
      <c r="E5" s="6" t="s">
        <v>869</v>
      </c>
      <c r="F5" s="6" t="s">
        <v>870</v>
      </c>
      <c r="G5" s="6" t="s">
        <v>496</v>
      </c>
      <c r="H5" s="6" t="s">
        <v>496</v>
      </c>
      <c r="I5" s="6" t="s">
        <v>145</v>
      </c>
      <c r="J5" s="6" t="s">
        <v>775</v>
      </c>
      <c r="K5" s="23"/>
      <c r="L5" s="2"/>
      <c r="M5" s="6" t="s">
        <v>145</v>
      </c>
      <c r="N5" s="6" t="s">
        <v>631</v>
      </c>
      <c r="O5" s="6" t="s">
        <v>631</v>
      </c>
      <c r="P5" s="6" t="s">
        <v>631</v>
      </c>
      <c r="Q5" s="6" t="s">
        <v>631</v>
      </c>
      <c r="R5" s="6" t="s">
        <v>631</v>
      </c>
      <c r="S5" s="6" t="s">
        <v>631</v>
      </c>
      <c r="T5" s="6" t="s">
        <v>631</v>
      </c>
      <c r="U5" s="6" t="s">
        <v>631</v>
      </c>
      <c r="V5" s="6" t="s">
        <v>631</v>
      </c>
      <c r="W5" s="6" t="s">
        <v>631</v>
      </c>
      <c r="X5" s="6" t="s">
        <v>631</v>
      </c>
      <c r="Y5" s="6" t="s">
        <v>631</v>
      </c>
      <c r="Z5" s="6" t="s">
        <v>631</v>
      </c>
      <c r="AA5" s="6" t="s">
        <v>631</v>
      </c>
      <c r="AB5" s="6" t="s">
        <v>631</v>
      </c>
      <c r="AC5" s="6" t="s">
        <v>631</v>
      </c>
      <c r="AD5" s="6" t="s">
        <v>142</v>
      </c>
      <c r="AE5" s="6" t="s">
        <v>631</v>
      </c>
      <c r="AF5" s="6" t="s">
        <v>142</v>
      </c>
      <c r="AG5" s="6" t="s">
        <v>631</v>
      </c>
      <c r="AH5" s="6" t="s">
        <v>142</v>
      </c>
      <c r="AI5" s="6" t="s">
        <v>631</v>
      </c>
      <c r="AJ5" s="6" t="s">
        <v>142</v>
      </c>
      <c r="AK5" s="6" t="s">
        <v>631</v>
      </c>
      <c r="AL5" s="6"/>
      <c r="AM5" s="6"/>
      <c r="AN5" s="24"/>
      <c r="AO5" s="23"/>
      <c r="AP5" s="23"/>
      <c r="AQ5" s="23"/>
      <c r="AR5" s="23"/>
      <c r="AS5" s="23"/>
      <c r="AT5" s="23"/>
      <c r="AU5" s="23"/>
      <c r="AV5" s="23"/>
      <c r="AW5" s="23"/>
      <c r="AX5" s="24"/>
      <c r="AY5" s="23"/>
      <c r="AZ5" s="23"/>
      <c r="BA5" s="23"/>
      <c r="BB5" s="23"/>
      <c r="BC5" s="23"/>
      <c r="BD5" s="23"/>
      <c r="BE5" s="23"/>
      <c r="BF5" s="23"/>
      <c r="BG5" s="23"/>
      <c r="BH5" s="23"/>
      <c r="BI5" s="23"/>
      <c r="BJ5" s="23"/>
    </row>
    <row r="6" spans="1:62">
      <c r="A6" s="22"/>
      <c r="B6" s="100">
        <v>0</v>
      </c>
      <c r="C6" s="100">
        <v>14</v>
      </c>
      <c r="D6" s="100">
        <v>14</v>
      </c>
      <c r="E6" s="100">
        <v>0</v>
      </c>
      <c r="F6" s="93">
        <v>0</v>
      </c>
      <c r="G6" s="93">
        <v>123.85352914310199</v>
      </c>
      <c r="H6" s="93">
        <v>17.173737764593685</v>
      </c>
      <c r="I6" s="6">
        <f>2*(M9-M6)</f>
        <v>3.5</v>
      </c>
      <c r="J6" s="98">
        <v>-955.86400000000003</v>
      </c>
      <c r="K6" s="23"/>
      <c r="L6" s="2" t="s">
        <v>871</v>
      </c>
      <c r="M6" s="93">
        <v>0</v>
      </c>
      <c r="N6" s="6">
        <f>P6+2*$D$28*$C$6</f>
        <v>121.108</v>
      </c>
      <c r="O6" s="6">
        <f>Q6+2*$D$28*$D$6</f>
        <v>121.108</v>
      </c>
      <c r="P6" s="93">
        <v>118</v>
      </c>
      <c r="Q6" s="6">
        <f>P6*$D$20</f>
        <v>118</v>
      </c>
      <c r="R6" s="6"/>
      <c r="S6" s="6"/>
      <c r="T6" s="6"/>
      <c r="U6" s="6"/>
      <c r="V6" s="6"/>
      <c r="W6" s="6"/>
      <c r="X6" s="6"/>
      <c r="Y6" s="6"/>
      <c r="Z6" s="6"/>
      <c r="AA6" s="6"/>
      <c r="AB6" s="6"/>
      <c r="AC6" s="6"/>
      <c r="AD6" s="6">
        <f t="array" ref="AD6:AE6">LINEST(P6:P7,M6:M7,TRUE,FALSE)</f>
        <v>0</v>
      </c>
      <c r="AE6" s="6">
        <v>118</v>
      </c>
      <c r="AF6" s="6"/>
      <c r="AG6" s="6"/>
      <c r="AH6" s="6"/>
      <c r="AI6" s="6"/>
      <c r="AJ6" s="6"/>
      <c r="AK6" s="6"/>
      <c r="AL6" s="6"/>
      <c r="AM6" s="6"/>
      <c r="AN6" s="24"/>
      <c r="AO6" s="23"/>
      <c r="AP6" s="23"/>
      <c r="AQ6" s="23"/>
      <c r="AR6" s="23"/>
      <c r="AS6" s="23"/>
      <c r="AT6" s="23"/>
      <c r="AU6" s="23"/>
      <c r="AV6" s="23"/>
      <c r="AW6" s="23"/>
      <c r="AX6" s="24"/>
      <c r="AY6" s="23"/>
      <c r="AZ6" s="23"/>
      <c r="BA6" s="23"/>
      <c r="BB6" s="23"/>
      <c r="BC6" s="23"/>
      <c r="BD6" s="23"/>
      <c r="BE6" s="23"/>
      <c r="BF6" s="23"/>
      <c r="BG6" s="23"/>
      <c r="BH6" s="23"/>
      <c r="BI6" s="23"/>
      <c r="BJ6" s="23"/>
    </row>
    <row r="7" spans="1:62">
      <c r="A7" s="22"/>
      <c r="B7" s="6"/>
      <c r="C7" s="100">
        <v>14</v>
      </c>
      <c r="D7" s="100">
        <v>14</v>
      </c>
      <c r="E7" s="100">
        <v>0</v>
      </c>
      <c r="F7" s="93">
        <v>0</v>
      </c>
      <c r="G7" s="93">
        <v>123.85352914310199</v>
      </c>
      <c r="H7" s="93">
        <v>17.173737764593685</v>
      </c>
      <c r="I7" s="6">
        <f>I6</f>
        <v>3.5</v>
      </c>
      <c r="J7" s="98">
        <v>-955.86400000000003</v>
      </c>
      <c r="K7" s="23"/>
      <c r="L7" s="2" t="s">
        <v>872</v>
      </c>
      <c r="M7" s="93">
        <v>1.4</v>
      </c>
      <c r="N7" s="6">
        <f>P7+2*$D$28*$C$6</f>
        <v>121.108</v>
      </c>
      <c r="O7" s="6">
        <f>Q7+2*$D$28*$D$6</f>
        <v>121.108</v>
      </c>
      <c r="P7" s="6">
        <f>P6-$F$6*(M7-M6)</f>
        <v>118</v>
      </c>
      <c r="Q7" s="6">
        <f>P7*$D$20</f>
        <v>118</v>
      </c>
      <c r="R7" s="6"/>
      <c r="S7" s="6"/>
      <c r="T7" s="6"/>
      <c r="U7" s="6"/>
      <c r="V7" s="6"/>
      <c r="W7" s="6"/>
      <c r="X7" s="6"/>
      <c r="Y7" s="6"/>
      <c r="Z7" s="6"/>
      <c r="AA7" s="6"/>
      <c r="AB7" s="6"/>
      <c r="AC7" s="6"/>
      <c r="AD7" s="6">
        <f t="array" ref="AD7:AE7">LINEST(P7:P8,M7:M8,TRUE,FALSE)</f>
        <v>0</v>
      </c>
      <c r="AE7" s="6">
        <v>118</v>
      </c>
      <c r="AF7" s="6"/>
      <c r="AG7" s="6"/>
      <c r="AH7" s="6"/>
      <c r="AI7" s="6"/>
      <c r="AJ7" s="6"/>
      <c r="AK7" s="6"/>
      <c r="AL7" s="6"/>
      <c r="AM7" s="6"/>
      <c r="AN7" s="24"/>
      <c r="AO7" s="23"/>
      <c r="AP7" s="23"/>
      <c r="AQ7" s="23"/>
      <c r="AR7" s="23"/>
      <c r="AS7" s="23"/>
      <c r="AT7" s="23"/>
      <c r="AU7" s="23"/>
      <c r="AV7" s="23"/>
      <c r="AW7" s="23"/>
      <c r="AX7" s="24"/>
      <c r="AY7" s="23"/>
      <c r="AZ7" s="23"/>
      <c r="BA7" s="23"/>
      <c r="BB7" s="23"/>
      <c r="BC7" s="23"/>
      <c r="BD7" s="23"/>
      <c r="BE7" s="23"/>
      <c r="BF7" s="23"/>
      <c r="BG7" s="23"/>
      <c r="BH7" s="23"/>
      <c r="BI7" s="23"/>
      <c r="BJ7" s="23"/>
    </row>
    <row r="8" spans="1:62">
      <c r="A8" s="22"/>
      <c r="B8" s="100">
        <v>1</v>
      </c>
      <c r="C8" s="100">
        <v>13</v>
      </c>
      <c r="D8" s="100">
        <v>9</v>
      </c>
      <c r="E8" s="100">
        <v>4</v>
      </c>
      <c r="F8" s="93">
        <v>10.050000000000001</v>
      </c>
      <c r="G8" s="93">
        <v>90.627460642858509</v>
      </c>
      <c r="H8" s="93">
        <v>14.41495437773508</v>
      </c>
      <c r="I8" s="6">
        <f>M11-M8</f>
        <v>3.8000000000000003</v>
      </c>
      <c r="J8" s="98">
        <v>-1729.2065000000005</v>
      </c>
      <c r="K8" s="23"/>
      <c r="L8" s="2" t="s">
        <v>873</v>
      </c>
      <c r="M8" s="93">
        <v>1.35</v>
      </c>
      <c r="N8" s="6">
        <f>P8+2*$D$28*$C$6</f>
        <v>121.108</v>
      </c>
      <c r="O8" s="6">
        <f>Q8+2*$D$28*$D$6</f>
        <v>121.108</v>
      </c>
      <c r="P8" s="6">
        <f>P7-$F$7*(M8-M7)</f>
        <v>118</v>
      </c>
      <c r="Q8" s="6">
        <f>P8*$D$20</f>
        <v>118</v>
      </c>
      <c r="R8" s="6">
        <f>T8+2*$D$27*$C$8</f>
        <v>139.80908000000002</v>
      </c>
      <c r="S8" s="6">
        <f>U8+2*$D$27*$D$8</f>
        <v>131.666</v>
      </c>
      <c r="T8" s="6">
        <f>U8*D21</f>
        <v>135.98708000000002</v>
      </c>
      <c r="U8" s="6">
        <f>U9+$F$8*(M9-M8)</f>
        <v>129.02000000000001</v>
      </c>
      <c r="V8" s="6"/>
      <c r="W8" s="6"/>
      <c r="X8" s="6"/>
      <c r="Y8" s="6"/>
      <c r="Z8" s="6"/>
      <c r="AA8" s="6"/>
      <c r="AB8" s="6"/>
      <c r="AC8" s="6"/>
      <c r="AD8" s="6">
        <f t="array" ref="AD8:AE8">LINEST(P8:P9,M8:M9,TRUE,FALSE)</f>
        <v>0</v>
      </c>
      <c r="AE8" s="6">
        <v>118</v>
      </c>
      <c r="AF8" s="6">
        <f t="array" ref="AF8:AG8">LINEST(T8:T9,M8:M9,TRUE,FALSE)</f>
        <v>-10.592700000000052</v>
      </c>
      <c r="AG8" s="6">
        <v>150.28722500000009</v>
      </c>
      <c r="AH8" s="6"/>
      <c r="AI8" s="6"/>
      <c r="AJ8" s="6"/>
      <c r="AK8" s="6"/>
      <c r="AL8" s="6"/>
      <c r="AM8" s="6"/>
      <c r="AN8" s="24"/>
      <c r="AO8" s="23"/>
      <c r="AP8" s="23"/>
      <c r="AQ8" s="23"/>
      <c r="AR8" s="23"/>
      <c r="AS8" s="23"/>
      <c r="AT8" s="23"/>
      <c r="AU8" s="23"/>
      <c r="AV8" s="23"/>
      <c r="AW8" s="23"/>
      <c r="AX8" s="24"/>
      <c r="AY8" s="23"/>
      <c r="AZ8" s="23"/>
      <c r="BA8" s="23"/>
      <c r="BB8" s="23"/>
      <c r="BC8" s="23"/>
      <c r="BD8" s="23"/>
      <c r="BE8" s="23"/>
      <c r="BF8" s="23"/>
      <c r="BG8" s="23"/>
      <c r="BH8" s="23"/>
      <c r="BI8" s="23"/>
      <c r="BJ8" s="23"/>
    </row>
    <row r="9" spans="1:62">
      <c r="A9" s="22"/>
      <c r="B9" s="100">
        <v>2</v>
      </c>
      <c r="C9" s="100">
        <v>12</v>
      </c>
      <c r="D9" s="100">
        <v>10</v>
      </c>
      <c r="E9" s="100">
        <v>2</v>
      </c>
      <c r="F9" s="93">
        <v>9.1</v>
      </c>
      <c r="G9" s="93">
        <v>85.918359090644557</v>
      </c>
      <c r="H9" s="93">
        <v>15.282867242546336</v>
      </c>
      <c r="I9" s="6">
        <f>M13-M10</f>
        <v>3.9500000000000011</v>
      </c>
      <c r="J9" s="98">
        <v>-1513.25</v>
      </c>
      <c r="K9" s="23"/>
      <c r="L9" s="2" t="s">
        <v>874</v>
      </c>
      <c r="M9" s="93">
        <v>1.75</v>
      </c>
      <c r="N9" s="6">
        <f>P9+2*$D$28*$C$6</f>
        <v>121.108</v>
      </c>
      <c r="O9" s="6">
        <f>Q9+2*$D$28*$D$6</f>
        <v>121.108</v>
      </c>
      <c r="P9" s="6">
        <f>P8-$F$7*(M9-M8)</f>
        <v>118</v>
      </c>
      <c r="Q9" s="6">
        <f>P9*$D$20</f>
        <v>118</v>
      </c>
      <c r="R9" s="6">
        <f>T9+2*$D$27*$C$8</f>
        <v>135.572</v>
      </c>
      <c r="S9" s="6">
        <f>U9+2*$D$27*$D$8</f>
        <v>127.646</v>
      </c>
      <c r="T9" s="6">
        <f>U9*D21</f>
        <v>131.75</v>
      </c>
      <c r="U9" s="93">
        <v>125</v>
      </c>
      <c r="V9" s="6"/>
      <c r="W9" s="6"/>
      <c r="X9" s="6"/>
      <c r="Y9" s="6"/>
      <c r="Z9" s="6"/>
      <c r="AA9" s="6"/>
      <c r="AB9" s="6"/>
      <c r="AC9" s="6"/>
      <c r="AD9" s="6"/>
      <c r="AE9" s="6"/>
      <c r="AF9" s="6">
        <f t="array" ref="AF9:AG9">LINEST(T9:T10,M9:M10,TRUE,FALSE)</f>
        <v>-10.708387096774194</v>
      </c>
      <c r="AG9" s="6">
        <v>150.48967741935485</v>
      </c>
      <c r="AH9" s="6"/>
      <c r="AI9" s="6"/>
      <c r="AJ9" s="6"/>
      <c r="AK9" s="6"/>
      <c r="AL9" s="6"/>
      <c r="AM9" s="6"/>
      <c r="AN9" s="24"/>
      <c r="AO9" s="23"/>
      <c r="AP9" s="23"/>
      <c r="AQ9" s="23"/>
      <c r="AR9" s="23"/>
      <c r="AS9" s="23"/>
      <c r="AT9" s="23"/>
      <c r="AU9" s="23"/>
      <c r="AV9" s="23"/>
      <c r="AW9" s="23"/>
      <c r="AX9" s="24"/>
      <c r="AY9" s="23"/>
      <c r="AZ9" s="23"/>
      <c r="BA9" s="23"/>
      <c r="BB9" s="23"/>
      <c r="BC9" s="23"/>
      <c r="BD9" s="23"/>
      <c r="BE9" s="23"/>
      <c r="BF9" s="23"/>
      <c r="BG9" s="23"/>
      <c r="BH9" s="23"/>
      <c r="BI9" s="23"/>
      <c r="BJ9" s="23"/>
    </row>
    <row r="10" spans="1:62">
      <c r="A10" s="22"/>
      <c r="B10" s="100">
        <v>3</v>
      </c>
      <c r="C10" s="100">
        <v>8</v>
      </c>
      <c r="D10" s="100">
        <v>8</v>
      </c>
      <c r="E10" s="100">
        <v>0</v>
      </c>
      <c r="F10" s="93">
        <v>8.5</v>
      </c>
      <c r="G10" s="93">
        <v>85.062835944683613</v>
      </c>
      <c r="H10" s="93">
        <v>12.462150431909752</v>
      </c>
      <c r="I10" s="6">
        <f>M14-M12</f>
        <v>3.7999999999999989</v>
      </c>
      <c r="J10" s="98">
        <v>-943.26</v>
      </c>
      <c r="K10" s="23"/>
      <c r="L10" s="2" t="s">
        <v>778</v>
      </c>
      <c r="M10" s="93">
        <v>4.8499999999999996</v>
      </c>
      <c r="N10" s="6"/>
      <c r="O10" s="6"/>
      <c r="P10" s="6"/>
      <c r="Q10" s="6"/>
      <c r="R10" s="93">
        <v>101.2</v>
      </c>
      <c r="S10" s="93">
        <v>96</v>
      </c>
      <c r="T10" s="6">
        <f>R10-D8*D27*2</f>
        <v>98.554000000000002</v>
      </c>
      <c r="U10" s="6">
        <f>S10-C8*D27*2</f>
        <v>92.177999999999997</v>
      </c>
      <c r="V10" s="6">
        <f>X10+2*$D$27*$C$9</f>
        <v>102.328</v>
      </c>
      <c r="W10" s="6">
        <f>Y10+2*$D$27*$D$9</f>
        <v>107.4704</v>
      </c>
      <c r="X10" s="93">
        <v>98.8</v>
      </c>
      <c r="Y10" s="6">
        <f>X10*$D$22</f>
        <v>104.5304</v>
      </c>
      <c r="Z10" s="6"/>
      <c r="AA10" s="6"/>
      <c r="AB10" s="6"/>
      <c r="AC10" s="6"/>
      <c r="AD10" s="6"/>
      <c r="AE10" s="6"/>
      <c r="AF10" s="6">
        <f t="array" ref="AF10:AG10">LINEST(T10:T11,M10:M11,TRUE,FALSE)</f>
        <v>-10.049999999999978</v>
      </c>
      <c r="AG10" s="6">
        <v>147.2964999999999</v>
      </c>
      <c r="AH10" s="6">
        <f t="array" ref="AH10:AI10">LINEST(X10:X11,M10:M11,TRUE,FALSE)</f>
        <v>-9.099999999999989</v>
      </c>
      <c r="AI10" s="6">
        <v>142.93499999999995</v>
      </c>
      <c r="AJ10" s="6"/>
      <c r="AK10" s="6"/>
      <c r="AL10" s="6"/>
      <c r="AM10" s="6"/>
      <c r="AN10" s="24"/>
      <c r="AO10" s="23"/>
      <c r="AP10" s="23"/>
      <c r="AQ10" s="23"/>
      <c r="AR10" s="23"/>
      <c r="AS10" s="23"/>
      <c r="AT10" s="23"/>
      <c r="AU10" s="23"/>
      <c r="AV10" s="23"/>
      <c r="AW10" s="23"/>
      <c r="AX10" s="24"/>
      <c r="AY10" s="23"/>
      <c r="AZ10" s="23"/>
      <c r="BA10" s="23"/>
      <c r="BB10" s="23"/>
      <c r="BC10" s="23"/>
      <c r="BD10" s="23"/>
      <c r="BE10" s="23"/>
      <c r="BF10" s="23"/>
      <c r="BG10" s="23"/>
      <c r="BH10" s="23"/>
      <c r="BI10" s="23"/>
      <c r="BJ10" s="23"/>
    </row>
    <row r="11" spans="1:62">
      <c r="A11" s="22"/>
      <c r="B11" s="23"/>
      <c r="C11" s="23"/>
      <c r="D11" s="23"/>
      <c r="E11" s="23"/>
      <c r="F11" s="23"/>
      <c r="G11" s="23"/>
      <c r="H11" s="23"/>
      <c r="I11" s="23" t="s">
        <v>875</v>
      </c>
      <c r="J11" s="23"/>
      <c r="K11" s="23"/>
      <c r="L11" s="2" t="s">
        <v>876</v>
      </c>
      <c r="M11" s="93">
        <v>5.15</v>
      </c>
      <c r="N11" s="6"/>
      <c r="O11" s="6"/>
      <c r="P11" s="6"/>
      <c r="Q11" s="6"/>
      <c r="R11" s="93">
        <v>98</v>
      </c>
      <c r="S11" s="93">
        <v>92</v>
      </c>
      <c r="T11" s="6">
        <f>T10-$F$8*(M11-M10)</f>
        <v>95.539000000000001</v>
      </c>
      <c r="U11" s="6">
        <f>T11*$D$21</f>
        <v>100.69810600000001</v>
      </c>
      <c r="V11" s="6">
        <f>X11+2*$D$27*$C$9</f>
        <v>99.597999999999999</v>
      </c>
      <c r="W11" s="6">
        <f>Y11+2*$D$27*$D$9</f>
        <v>104.58206</v>
      </c>
      <c r="X11" s="6">
        <f>X10-$F$9*(M11-M10)</f>
        <v>96.07</v>
      </c>
      <c r="Y11" s="6">
        <f>X11*$D$22</f>
        <v>101.64206</v>
      </c>
      <c r="Z11" s="6"/>
      <c r="AA11" s="6"/>
      <c r="AB11" s="6"/>
      <c r="AC11" s="6"/>
      <c r="AD11" s="6"/>
      <c r="AE11" s="6"/>
      <c r="AF11" s="6"/>
      <c r="AG11" s="6"/>
      <c r="AH11" s="6">
        <f t="array" ref="AH11:AI11">LINEST(X11:X12,M11:M12,TRUE,FALSE)</f>
        <v>-9.1</v>
      </c>
      <c r="AI11" s="6">
        <v>142.935</v>
      </c>
      <c r="AJ11" s="6"/>
      <c r="AK11" s="6"/>
      <c r="AL11" s="6"/>
      <c r="AM11" s="6"/>
      <c r="AN11" s="24"/>
      <c r="AO11" s="23"/>
      <c r="AP11" s="23" t="s">
        <v>614</v>
      </c>
      <c r="AQ11" s="23"/>
      <c r="AR11" s="23"/>
      <c r="AS11" s="23"/>
      <c r="AT11" s="23"/>
      <c r="AU11" s="23"/>
      <c r="AV11" s="23"/>
      <c r="AW11" s="23"/>
      <c r="AX11" s="24"/>
      <c r="AY11" s="23"/>
      <c r="AZ11" s="23"/>
      <c r="BA11" s="23"/>
      <c r="BB11" s="23"/>
      <c r="BC11" s="23"/>
      <c r="BD11" s="23"/>
      <c r="BE11" s="23"/>
      <c r="BF11" s="23"/>
      <c r="BG11" s="23"/>
      <c r="BH11" s="23"/>
      <c r="BI11" s="23"/>
      <c r="BJ11" s="23"/>
    </row>
    <row r="12" spans="1:62">
      <c r="A12" s="22"/>
      <c r="B12" s="23" t="s">
        <v>877</v>
      </c>
      <c r="C12" s="23"/>
      <c r="D12" s="23"/>
      <c r="E12" s="23"/>
      <c r="F12" s="6" t="s">
        <v>1164</v>
      </c>
      <c r="G12" s="6"/>
      <c r="H12" s="6"/>
      <c r="I12" s="6"/>
      <c r="J12" s="23"/>
      <c r="K12" s="23"/>
      <c r="L12" s="2" t="s">
        <v>779</v>
      </c>
      <c r="M12" s="93">
        <v>8.5500000000000007</v>
      </c>
      <c r="N12" s="6"/>
      <c r="O12" s="6"/>
      <c r="P12" s="6"/>
      <c r="Q12" s="6"/>
      <c r="R12" s="6"/>
      <c r="S12" s="6"/>
      <c r="T12" s="6"/>
      <c r="U12" s="6"/>
      <c r="V12" s="6">
        <f>X12+2*$D$27*$C$9</f>
        <v>68.658000000000001</v>
      </c>
      <c r="W12" s="6">
        <f>Y12+2*$D$27*$D$9</f>
        <v>68.309084810126578</v>
      </c>
      <c r="X12" s="6">
        <f>X11-$F$9*(M12-M11)</f>
        <v>65.13</v>
      </c>
      <c r="Y12" s="6">
        <f>X12*((($D$23-$D$22)/($M$13-$M$10))*(M12-$M$10)+$D$22)</f>
        <v>65.36908481012658</v>
      </c>
      <c r="Z12" s="6">
        <f>AB12+2*$D$27*$C$10</f>
        <v>74.652000000000001</v>
      </c>
      <c r="AA12" s="6">
        <f>AC12+2*$D$27*$D$10</f>
        <v>74.652000000000001</v>
      </c>
      <c r="AB12" s="93">
        <v>72.3</v>
      </c>
      <c r="AC12" s="6">
        <f>AB12*$D$23</f>
        <v>72.3</v>
      </c>
      <c r="AD12" s="6"/>
      <c r="AE12" s="6"/>
      <c r="AF12" s="6"/>
      <c r="AG12" s="6"/>
      <c r="AH12" s="6">
        <f t="array" ref="AH12:AI12">LINEST(X12:X13,M12:M13,TRUE,FALSE)</f>
        <v>-9.0999999999999979</v>
      </c>
      <c r="AI12" s="6">
        <v>142.93499999999997</v>
      </c>
      <c r="AJ12" s="6">
        <f t="array" ref="AJ12:AK12">LINEST(AB12:AB13,M12:M13,TRUE,FALSE)</f>
        <v>-8.5</v>
      </c>
      <c r="AK12" s="6">
        <v>144.97500000000002</v>
      </c>
      <c r="AL12" s="6"/>
      <c r="AM12" s="6"/>
      <c r="AN12" s="24"/>
      <c r="AO12" s="23"/>
      <c r="AP12" s="2" t="s">
        <v>260</v>
      </c>
      <c r="AQ12" s="2" t="s">
        <v>261</v>
      </c>
      <c r="AR12" s="2" t="s">
        <v>262</v>
      </c>
      <c r="AS12" s="2" t="s">
        <v>263</v>
      </c>
      <c r="AT12" s="23"/>
      <c r="AU12" s="23"/>
      <c r="AV12" s="23"/>
      <c r="AW12" s="23"/>
      <c r="AX12" s="24"/>
      <c r="AY12" s="23"/>
      <c r="AZ12" s="23"/>
      <c r="BA12" s="23"/>
      <c r="BB12" s="23"/>
      <c r="BC12" s="23"/>
      <c r="BD12" s="23"/>
      <c r="BE12" s="23"/>
      <c r="BF12" s="23"/>
      <c r="BG12" s="23"/>
      <c r="BH12" s="23"/>
      <c r="BI12" s="23"/>
      <c r="BJ12" s="23"/>
    </row>
    <row r="13" spans="1:62" ht="19.5" thickBot="1">
      <c r="A13" s="22"/>
      <c r="B13" s="2" t="s">
        <v>849</v>
      </c>
      <c r="C13" s="2" t="s">
        <v>878</v>
      </c>
      <c r="D13" s="2" t="s">
        <v>879</v>
      </c>
      <c r="E13" s="23"/>
      <c r="F13" s="11" t="s">
        <v>971</v>
      </c>
      <c r="G13" s="11" t="s">
        <v>1163</v>
      </c>
      <c r="H13" s="11" t="s">
        <v>975</v>
      </c>
      <c r="I13" s="11" t="s">
        <v>976</v>
      </c>
      <c r="J13" s="23"/>
      <c r="K13" s="23"/>
      <c r="L13" s="2" t="s">
        <v>880</v>
      </c>
      <c r="M13" s="93">
        <v>8.8000000000000007</v>
      </c>
      <c r="N13" s="6"/>
      <c r="O13" s="6"/>
      <c r="P13" s="6"/>
      <c r="Q13" s="6"/>
      <c r="R13" s="6"/>
      <c r="S13" s="6"/>
      <c r="T13" s="6"/>
      <c r="U13" s="6"/>
      <c r="V13" s="6">
        <f>X13+2*$D$27*$C$9</f>
        <v>66.382999999999996</v>
      </c>
      <c r="W13" s="6">
        <f>Y13+2*$D$27*$D$9</f>
        <v>65.795000000000002</v>
      </c>
      <c r="X13" s="6">
        <f>X12-$F$9*(M13-M12)</f>
        <v>62.854999999999997</v>
      </c>
      <c r="Y13" s="6">
        <f>X13*((($D$23-$D$22)/($M$13-$M$10))*(M13-$M$10)+$D$22)</f>
        <v>62.854999999999997</v>
      </c>
      <c r="Z13" s="6">
        <f>AB13+2*$D$27*$C$10</f>
        <v>72.527000000000001</v>
      </c>
      <c r="AA13" s="6">
        <f>AC13+2*$D$27*$D$10</f>
        <v>72.527000000000001</v>
      </c>
      <c r="AB13" s="6">
        <f>AB12-$F$10*(M13-M12)</f>
        <v>70.174999999999997</v>
      </c>
      <c r="AC13" s="6">
        <f>AB13*$D$23</f>
        <v>70.174999999999997</v>
      </c>
      <c r="AD13" s="6"/>
      <c r="AE13" s="6"/>
      <c r="AF13" s="6"/>
      <c r="AG13" s="6"/>
      <c r="AH13" s="6"/>
      <c r="AI13" s="6"/>
      <c r="AJ13" s="6">
        <f t="array" ref="AJ13:AK13">LINEST(AB13:AB14,M13:M14,TRUE,FALSE)</f>
        <v>-8.5</v>
      </c>
      <c r="AK13" s="6">
        <v>144.97499999999999</v>
      </c>
      <c r="AL13" s="6"/>
      <c r="AM13" s="6"/>
      <c r="AN13" s="24"/>
      <c r="AO13" s="23"/>
      <c r="AP13" s="6" t="s">
        <v>619</v>
      </c>
      <c r="AQ13" s="6" t="s">
        <v>838</v>
      </c>
      <c r="AR13" s="45">
        <f>SUM(BC45:BC128)*2</f>
        <v>2.4542022045326686</v>
      </c>
      <c r="AS13" s="6" t="s">
        <v>320</v>
      </c>
      <c r="AT13" s="23"/>
      <c r="AU13" s="23"/>
      <c r="AV13" s="23"/>
      <c r="AW13" s="23"/>
      <c r="AX13" s="24"/>
      <c r="AY13" s="23"/>
      <c r="AZ13" s="23"/>
      <c r="BA13" s="23"/>
      <c r="BB13" s="23"/>
      <c r="BC13" s="23"/>
      <c r="BD13" s="23"/>
      <c r="BE13" s="23"/>
      <c r="BF13" s="23"/>
      <c r="BG13" s="23"/>
      <c r="BH13" s="23"/>
      <c r="BI13" s="23"/>
      <c r="BJ13" s="23"/>
    </row>
    <row r="14" spans="1:62" ht="19.5" thickTop="1">
      <c r="A14" s="22"/>
      <c r="B14" s="6" t="s">
        <v>142</v>
      </c>
      <c r="C14" s="6" t="s">
        <v>145</v>
      </c>
      <c r="D14" s="6" t="s">
        <v>631</v>
      </c>
      <c r="E14" s="23"/>
      <c r="F14" s="12">
        <f>(I6-C15*2)/2</f>
        <v>1.35</v>
      </c>
      <c r="G14" s="12">
        <f>I8-C16</f>
        <v>3.4999999999999996</v>
      </c>
      <c r="H14" s="12">
        <f>I9-C17</f>
        <v>3.7000000000000011</v>
      </c>
      <c r="I14" s="12">
        <f>I10-0.15</f>
        <v>3.649999999999999</v>
      </c>
      <c r="J14" s="23"/>
      <c r="K14" s="23"/>
      <c r="L14" s="2" t="s">
        <v>940</v>
      </c>
      <c r="M14" s="93">
        <v>12.35</v>
      </c>
      <c r="N14" s="6"/>
      <c r="O14" s="6"/>
      <c r="P14" s="6"/>
      <c r="Q14" s="6"/>
      <c r="R14" s="6"/>
      <c r="S14" s="6"/>
      <c r="T14" s="6"/>
      <c r="U14" s="6"/>
      <c r="V14" s="6"/>
      <c r="W14" s="6"/>
      <c r="X14" s="6"/>
      <c r="Y14" s="6"/>
      <c r="Z14" s="6">
        <f>AB14+2*$D$27*$C$10</f>
        <v>42.352000000000004</v>
      </c>
      <c r="AA14" s="6">
        <f>AC14+2*$D$27*$D$10</f>
        <v>42.352000000000004</v>
      </c>
      <c r="AB14" s="6">
        <f>AB13-$F$10*(M14-M13)</f>
        <v>40.000000000000007</v>
      </c>
      <c r="AC14" s="6">
        <f>AB14*$D$23</f>
        <v>40.000000000000007</v>
      </c>
      <c r="AD14" s="6"/>
      <c r="AE14" s="6"/>
      <c r="AF14" s="6"/>
      <c r="AG14" s="6"/>
      <c r="AH14" s="6"/>
      <c r="AI14" s="6"/>
      <c r="AJ14" s="6"/>
      <c r="AK14" s="6"/>
      <c r="AL14" s="6"/>
      <c r="AM14" s="6"/>
      <c r="AN14" s="24"/>
      <c r="AO14" s="23"/>
      <c r="AP14" s="6"/>
      <c r="AQ14" s="175" t="s">
        <v>839</v>
      </c>
      <c r="AR14" s="93">
        <v>0.76800000000000002</v>
      </c>
      <c r="AS14" s="34" t="s">
        <v>142</v>
      </c>
      <c r="AT14" s="23"/>
      <c r="AU14" s="23"/>
      <c r="AV14" s="23"/>
      <c r="AW14" s="23"/>
      <c r="AX14" s="24"/>
      <c r="AY14" s="23"/>
      <c r="AZ14" s="23"/>
      <c r="BA14" s="23"/>
      <c r="BB14" s="23"/>
      <c r="BC14" s="23"/>
      <c r="BD14" s="23"/>
      <c r="BE14" s="23"/>
      <c r="BF14" s="23"/>
      <c r="BG14" s="23"/>
      <c r="BH14" s="23"/>
      <c r="BI14" s="23"/>
      <c r="BJ14" s="23"/>
    </row>
    <row r="15" spans="1:62" ht="19.5" thickBot="1">
      <c r="A15" s="22"/>
      <c r="B15" s="6" t="s">
        <v>881</v>
      </c>
      <c r="C15" s="6">
        <f>M9-M8</f>
        <v>0.39999999999999991</v>
      </c>
      <c r="D15" s="93">
        <v>1</v>
      </c>
      <c r="E15" s="23"/>
      <c r="F15" s="6" t="s">
        <v>1165</v>
      </c>
      <c r="G15" s="6">
        <f>SUM(F14:I14)</f>
        <v>12.2</v>
      </c>
      <c r="H15" s="6"/>
      <c r="I15" s="6"/>
      <c r="J15" s="23"/>
      <c r="K15" s="23"/>
      <c r="L15" s="2" t="s">
        <v>780</v>
      </c>
      <c r="M15" s="6">
        <f>'主翼(平面形)'!Q13</f>
        <v>13.25</v>
      </c>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24"/>
      <c r="AO15" s="23"/>
      <c r="AP15" s="11" t="s">
        <v>840</v>
      </c>
      <c r="AQ15" s="191" t="s">
        <v>784</v>
      </c>
      <c r="AR15" s="28">
        <f>AR13</f>
        <v>2.4542022045326686</v>
      </c>
      <c r="AS15" s="26" t="s">
        <v>320</v>
      </c>
      <c r="AT15" s="23"/>
      <c r="AU15" s="23"/>
      <c r="AV15" s="23"/>
      <c r="AW15" s="23"/>
      <c r="AX15" s="24"/>
      <c r="AY15" s="23"/>
      <c r="AZ15" s="23"/>
      <c r="BA15" s="23"/>
      <c r="BB15" s="23"/>
      <c r="BC15" s="23"/>
      <c r="BD15" s="23"/>
      <c r="BE15" s="23"/>
      <c r="BF15" s="23"/>
      <c r="BG15" s="23"/>
      <c r="BH15" s="23"/>
      <c r="BI15" s="23"/>
      <c r="BJ15" s="23"/>
    </row>
    <row r="16" spans="1:62" ht="19.5" thickTop="1">
      <c r="A16" s="22"/>
      <c r="B16" s="6" t="s">
        <v>882</v>
      </c>
      <c r="C16" s="6">
        <f>M11-M10</f>
        <v>0.30000000000000071</v>
      </c>
      <c r="D16" s="93">
        <v>1</v>
      </c>
      <c r="E16" s="23"/>
      <c r="F16" s="23"/>
      <c r="G16" s="23"/>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4"/>
      <c r="AO16" s="23"/>
      <c r="AP16" s="6" t="s">
        <v>620</v>
      </c>
      <c r="AQ16" s="175" t="s">
        <v>838</v>
      </c>
      <c r="AR16" s="6">
        <f>SUM(BD45:BD128)</f>
        <v>3.8633150667950993</v>
      </c>
      <c r="AS16" s="34" t="s">
        <v>320</v>
      </c>
      <c r="AT16" s="23"/>
      <c r="AU16" s="23"/>
      <c r="AV16" s="23"/>
      <c r="AW16" s="23"/>
      <c r="AX16" s="24"/>
      <c r="AY16" s="23"/>
      <c r="AZ16" s="23"/>
      <c r="BA16" s="23"/>
      <c r="BB16" s="23"/>
      <c r="BC16" s="23"/>
      <c r="BD16" s="23"/>
      <c r="BE16" s="23"/>
      <c r="BF16" s="23"/>
      <c r="BG16" s="23"/>
      <c r="BH16" s="23"/>
      <c r="BI16" s="23"/>
      <c r="BJ16" s="23"/>
    </row>
    <row r="17" spans="1:62">
      <c r="A17" s="22"/>
      <c r="B17" s="6" t="s">
        <v>883</v>
      </c>
      <c r="C17" s="6">
        <f>M13-M12</f>
        <v>0.25</v>
      </c>
      <c r="D17" s="93">
        <v>1</v>
      </c>
      <c r="E17" s="23"/>
      <c r="F17" s="23"/>
      <c r="G17" s="23"/>
      <c r="H17" s="23"/>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4"/>
      <c r="AO17" s="23"/>
      <c r="AP17" s="6"/>
      <c r="AQ17" s="175" t="s">
        <v>839</v>
      </c>
      <c r="AR17" s="93">
        <v>1.2250000000000001</v>
      </c>
      <c r="AS17" s="34" t="s">
        <v>142</v>
      </c>
      <c r="AT17" s="23"/>
      <c r="AU17" s="23"/>
      <c r="AV17" s="23"/>
      <c r="AW17" s="23"/>
      <c r="AX17" s="24"/>
      <c r="AY17" s="23"/>
      <c r="AZ17" s="23"/>
      <c r="BA17" s="23"/>
      <c r="BB17" s="23"/>
      <c r="BC17" s="23"/>
      <c r="BD17" s="23"/>
      <c r="BE17" s="23"/>
      <c r="BF17" s="23"/>
      <c r="BG17" s="23"/>
      <c r="BH17" s="23"/>
      <c r="BI17" s="23"/>
      <c r="BJ17" s="23"/>
    </row>
    <row r="18" spans="1:62" ht="19.5" thickBot="1">
      <c r="A18" s="22"/>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4"/>
      <c r="AO18" s="23"/>
      <c r="AP18" s="11" t="s">
        <v>840</v>
      </c>
      <c r="AQ18" s="191" t="s">
        <v>784</v>
      </c>
      <c r="AR18" s="28">
        <f>AR16</f>
        <v>3.8633150667950993</v>
      </c>
      <c r="AS18" s="26" t="s">
        <v>320</v>
      </c>
      <c r="AT18" s="23"/>
      <c r="AU18" s="23"/>
      <c r="AV18" s="23"/>
      <c r="AW18" s="23"/>
      <c r="AX18" s="24"/>
      <c r="AY18" s="23"/>
      <c r="AZ18" s="23"/>
      <c r="BA18" s="23"/>
      <c r="BB18" s="23"/>
      <c r="BC18" s="23"/>
      <c r="BD18" s="23"/>
      <c r="BE18" s="23"/>
      <c r="BF18" s="23"/>
      <c r="BG18" s="23"/>
      <c r="BH18" s="23"/>
      <c r="BI18" s="23"/>
      <c r="BJ18" s="23"/>
    </row>
    <row r="19" spans="1:62" ht="19.5" thickTop="1">
      <c r="A19" s="22"/>
      <c r="B19" s="2" t="s">
        <v>382</v>
      </c>
      <c r="C19" s="2" t="s">
        <v>849</v>
      </c>
      <c r="D19" s="2" t="s">
        <v>311</v>
      </c>
      <c r="E19" s="2" t="s">
        <v>312</v>
      </c>
      <c r="F19" s="164"/>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4"/>
      <c r="AO19" s="23"/>
      <c r="AP19" s="12" t="s">
        <v>621</v>
      </c>
      <c r="AQ19" s="88" t="s">
        <v>838</v>
      </c>
      <c r="AR19" s="12">
        <f>SUM(BE45:BE128)</f>
        <v>2.6891241637310976</v>
      </c>
      <c r="AS19" s="30" t="s">
        <v>320</v>
      </c>
      <c r="AT19" s="23"/>
      <c r="AU19" s="23"/>
      <c r="AV19" s="23"/>
      <c r="AW19" s="23"/>
      <c r="AX19" s="24"/>
      <c r="AY19" s="23"/>
      <c r="AZ19" s="23"/>
      <c r="BA19" s="23"/>
      <c r="BB19" s="23"/>
      <c r="BC19" s="23"/>
      <c r="BD19" s="23"/>
      <c r="BE19" s="23"/>
      <c r="BF19" s="23"/>
      <c r="BG19" s="23"/>
      <c r="BH19" s="23"/>
      <c r="BI19" s="23"/>
      <c r="BJ19" s="23"/>
    </row>
    <row r="20" spans="1:62">
      <c r="A20" s="22"/>
      <c r="B20" s="6" t="s">
        <v>884</v>
      </c>
      <c r="C20" s="100">
        <v>0</v>
      </c>
      <c r="D20" s="93">
        <v>1</v>
      </c>
      <c r="E20" s="6" t="s">
        <v>142</v>
      </c>
      <c r="F20" s="164"/>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4"/>
      <c r="AO20" s="23"/>
      <c r="AP20" s="6"/>
      <c r="AQ20" s="175" t="s">
        <v>839</v>
      </c>
      <c r="AR20" s="93">
        <v>1.1000000000000001</v>
      </c>
      <c r="AS20" s="34" t="s">
        <v>142</v>
      </c>
      <c r="AT20" s="23"/>
      <c r="AU20" s="23"/>
      <c r="AV20" s="23"/>
      <c r="AW20" s="23"/>
      <c r="AX20" s="24"/>
      <c r="AY20" s="23"/>
      <c r="AZ20" s="23"/>
      <c r="BA20" s="23"/>
      <c r="BB20" s="23"/>
      <c r="BC20" s="23"/>
      <c r="BD20" s="23"/>
      <c r="BE20" s="23"/>
      <c r="BF20" s="23"/>
      <c r="BG20" s="23"/>
      <c r="BH20" s="23"/>
      <c r="BI20" s="23"/>
      <c r="BJ20" s="23"/>
    </row>
    <row r="21" spans="1:62" ht="19.5" thickBot="1">
      <c r="A21" s="22"/>
      <c r="B21" s="6"/>
      <c r="C21" s="100">
        <v>1</v>
      </c>
      <c r="D21" s="93">
        <v>1.054</v>
      </c>
      <c r="E21" s="6" t="s">
        <v>142</v>
      </c>
      <c r="F21" s="164"/>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4"/>
      <c r="AO21" s="23"/>
      <c r="AP21" s="11" t="s">
        <v>840</v>
      </c>
      <c r="AQ21" s="11" t="s">
        <v>784</v>
      </c>
      <c r="AR21" s="28">
        <f>AR19</f>
        <v>2.6891241637310976</v>
      </c>
      <c r="AS21" s="11" t="s">
        <v>320</v>
      </c>
      <c r="AT21" s="23"/>
      <c r="AU21" s="23"/>
      <c r="AV21" s="23"/>
      <c r="AW21" s="23"/>
      <c r="AX21" s="24"/>
      <c r="AY21" s="23"/>
      <c r="AZ21" s="23"/>
      <c r="BA21" s="23"/>
      <c r="BB21" s="23"/>
      <c r="BC21" s="23"/>
      <c r="BD21" s="23"/>
      <c r="BE21" s="23"/>
      <c r="BF21" s="23"/>
      <c r="BG21" s="23"/>
      <c r="BH21" s="23"/>
      <c r="BI21" s="23"/>
      <c r="BJ21" s="23"/>
    </row>
    <row r="22" spans="1:62" ht="19.5" thickTop="1">
      <c r="A22" s="22"/>
      <c r="B22" s="6"/>
      <c r="C22" s="100">
        <v>2</v>
      </c>
      <c r="D22" s="93">
        <v>1.0580000000000001</v>
      </c>
      <c r="E22" s="6" t="s">
        <v>142</v>
      </c>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4"/>
      <c r="AO22" s="23"/>
      <c r="AP22" s="12" t="s">
        <v>622</v>
      </c>
      <c r="AQ22" s="88" t="s">
        <v>838</v>
      </c>
      <c r="AR22" s="12">
        <f>SUM(BF45:BF128)</f>
        <v>1.6722995863617236</v>
      </c>
      <c r="AS22" s="30" t="s">
        <v>320</v>
      </c>
      <c r="AT22" s="23"/>
      <c r="AU22" s="23"/>
      <c r="AV22" s="23"/>
      <c r="AW22" s="23"/>
      <c r="AX22" s="24"/>
      <c r="AY22" s="23"/>
      <c r="AZ22" s="23"/>
      <c r="BA22" s="23"/>
      <c r="BB22" s="23"/>
      <c r="BC22" s="23"/>
      <c r="BD22" s="23"/>
      <c r="BE22" s="23"/>
      <c r="BF22" s="23"/>
      <c r="BG22" s="23"/>
      <c r="BH22" s="23"/>
      <c r="BI22" s="23"/>
      <c r="BJ22" s="23"/>
    </row>
    <row r="23" spans="1:62">
      <c r="A23" s="22"/>
      <c r="B23" s="6"/>
      <c r="C23" s="100">
        <v>3</v>
      </c>
      <c r="D23" s="93">
        <v>1</v>
      </c>
      <c r="E23" s="6" t="s">
        <v>142</v>
      </c>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4"/>
      <c r="AO23" s="23"/>
      <c r="AP23" s="6"/>
      <c r="AQ23" s="175" t="s">
        <v>839</v>
      </c>
      <c r="AR23" s="93">
        <v>1</v>
      </c>
      <c r="AS23" s="34" t="s">
        <v>142</v>
      </c>
      <c r="AT23" s="23"/>
      <c r="AU23" s="23"/>
      <c r="AV23" s="23"/>
      <c r="AW23" s="23"/>
      <c r="AX23" s="24"/>
      <c r="AY23" s="23"/>
      <c r="AZ23" s="23"/>
      <c r="BA23" s="23"/>
      <c r="BB23" s="23"/>
      <c r="BC23" s="23"/>
      <c r="BD23" s="23"/>
      <c r="BE23" s="23"/>
      <c r="BF23" s="23"/>
      <c r="BG23" s="23"/>
      <c r="BH23" s="23"/>
      <c r="BI23" s="23"/>
      <c r="BJ23" s="23"/>
    </row>
    <row r="24" spans="1:62" ht="19.5" thickBot="1">
      <c r="A24" s="22"/>
      <c r="B24" s="23"/>
      <c r="C24" s="15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4"/>
      <c r="AO24" s="23"/>
      <c r="AP24" s="11" t="s">
        <v>840</v>
      </c>
      <c r="AQ24" s="11" t="s">
        <v>784</v>
      </c>
      <c r="AR24" s="28">
        <f>AR22</f>
        <v>1.6722995863617236</v>
      </c>
      <c r="AS24" s="11" t="s">
        <v>320</v>
      </c>
      <c r="AT24" s="23"/>
      <c r="AU24" s="23"/>
      <c r="AV24" s="23"/>
      <c r="AW24" s="23"/>
      <c r="AX24" s="24"/>
      <c r="AY24" s="23"/>
      <c r="AZ24" s="23"/>
      <c r="BA24" s="23"/>
      <c r="BB24" s="23"/>
      <c r="BC24" s="23"/>
      <c r="BD24" s="23"/>
      <c r="BE24" s="23"/>
      <c r="BF24" s="23"/>
      <c r="BG24" s="23"/>
      <c r="BH24" s="23"/>
      <c r="BI24" s="23"/>
      <c r="BJ24" s="23"/>
    </row>
    <row r="25" spans="1:62" ht="19.5" thickTop="1">
      <c r="A25" s="22"/>
      <c r="B25" s="219" t="s">
        <v>382</v>
      </c>
      <c r="C25" s="219" t="s">
        <v>310</v>
      </c>
      <c r="D25" s="219" t="s">
        <v>311</v>
      </c>
      <c r="E25" s="220" t="s">
        <v>312</v>
      </c>
      <c r="F25" s="164"/>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4"/>
      <c r="AO25" s="23"/>
      <c r="AP25" s="12" t="s">
        <v>841</v>
      </c>
      <c r="AQ25" s="12" t="s">
        <v>784</v>
      </c>
      <c r="AR25" s="12">
        <f>AR21*2+AR18*2+AR15*2+AR13</f>
        <v>20.467485074650398</v>
      </c>
      <c r="AS25" s="12" t="s">
        <v>320</v>
      </c>
      <c r="AT25" s="23"/>
      <c r="AU25" s="23"/>
      <c r="AV25" s="23"/>
      <c r="AW25" s="23"/>
      <c r="AX25" s="24"/>
      <c r="AY25" s="23"/>
      <c r="AZ25" s="23"/>
      <c r="BA25" s="23"/>
      <c r="BB25" s="23"/>
      <c r="BC25" s="23"/>
      <c r="BD25" s="23"/>
      <c r="BE25" s="23"/>
      <c r="BF25" s="23"/>
      <c r="BG25" s="23"/>
      <c r="BH25" s="23"/>
      <c r="BI25" s="23"/>
      <c r="BJ25" s="23"/>
    </row>
    <row r="26" spans="1:62">
      <c r="A26" s="22"/>
      <c r="B26" s="6" t="s">
        <v>885</v>
      </c>
      <c r="C26" s="100" t="s">
        <v>886</v>
      </c>
      <c r="D26" s="204">
        <f>2^15-1-1</f>
        <v>32766</v>
      </c>
      <c r="E26" s="175" t="s">
        <v>142</v>
      </c>
      <c r="F26" s="164" t="s">
        <v>885</v>
      </c>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4"/>
      <c r="AO26" s="23"/>
      <c r="AP26" s="23"/>
      <c r="AQ26" s="23"/>
      <c r="AR26" s="23"/>
      <c r="AS26" s="23"/>
      <c r="AT26" s="23"/>
      <c r="AU26" s="23"/>
      <c r="AV26" s="23"/>
      <c r="AW26" s="23"/>
      <c r="AX26" s="24"/>
      <c r="AY26" s="23"/>
      <c r="AZ26" s="23"/>
      <c r="BA26" s="23"/>
      <c r="BB26" s="23"/>
      <c r="BC26" s="23"/>
      <c r="BD26" s="23"/>
      <c r="BE26" s="23"/>
      <c r="BF26" s="23"/>
      <c r="BG26" s="23"/>
      <c r="BH26" s="23"/>
      <c r="BI26" s="23"/>
      <c r="BJ26" s="23"/>
    </row>
    <row r="27" spans="1:62">
      <c r="A27" s="22"/>
      <c r="B27" s="6" t="s">
        <v>477</v>
      </c>
      <c r="C27" s="6" t="s">
        <v>1006</v>
      </c>
      <c r="D27" s="6">
        <v>0.14699999999999999</v>
      </c>
      <c r="E27" s="6" t="s">
        <v>1007</v>
      </c>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4"/>
      <c r="AO27" s="23"/>
      <c r="AP27" s="23"/>
      <c r="AQ27" s="23"/>
      <c r="AR27" s="23"/>
      <c r="AS27" s="23"/>
      <c r="AT27" s="23"/>
      <c r="AU27" s="23"/>
      <c r="AV27" s="23"/>
      <c r="AW27" s="23"/>
      <c r="AX27" s="24"/>
      <c r="AY27" s="23"/>
      <c r="AZ27" s="23"/>
      <c r="BA27" s="23"/>
      <c r="BB27" s="23"/>
      <c r="BC27" s="23"/>
      <c r="BD27" s="23"/>
      <c r="BE27" s="23"/>
      <c r="BF27" s="23"/>
      <c r="BG27" s="23"/>
      <c r="BH27" s="23"/>
      <c r="BI27" s="23"/>
      <c r="BJ27" s="23"/>
    </row>
    <row r="28" spans="1:62">
      <c r="A28" s="23"/>
      <c r="B28" s="6"/>
      <c r="C28" s="6"/>
      <c r="D28" s="221">
        <v>0.111</v>
      </c>
      <c r="E28" s="6" t="s">
        <v>497</v>
      </c>
      <c r="F28" s="114"/>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4"/>
      <c r="AO28" s="23"/>
      <c r="AP28" s="23"/>
      <c r="AQ28" s="23"/>
      <c r="AR28" s="23"/>
      <c r="AS28" s="23"/>
      <c r="AT28" s="23"/>
      <c r="AU28" s="23"/>
      <c r="AV28" s="23"/>
      <c r="AW28" s="23"/>
      <c r="AX28" s="24"/>
      <c r="AY28" s="23"/>
      <c r="AZ28" s="23"/>
      <c r="BA28" s="23"/>
      <c r="BB28" s="23"/>
      <c r="BC28" s="23"/>
      <c r="BD28" s="23"/>
      <c r="BE28" s="23"/>
      <c r="BF28" s="23"/>
      <c r="BG28" s="23"/>
      <c r="BH28" s="23"/>
      <c r="BI28" s="23"/>
      <c r="BJ28" s="23"/>
    </row>
    <row r="29" spans="1:62">
      <c r="A29" s="23"/>
      <c r="B29" s="23"/>
      <c r="C29" s="153"/>
      <c r="D29" s="23"/>
      <c r="E29" s="23"/>
      <c r="F29" s="15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4"/>
      <c r="AO29" s="23"/>
      <c r="AP29" s="23"/>
      <c r="AQ29" s="23"/>
      <c r="AR29" s="23"/>
      <c r="AS29" s="23"/>
      <c r="AT29" s="23"/>
      <c r="AU29" s="23"/>
      <c r="AV29" s="23"/>
      <c r="AW29" s="23"/>
      <c r="AX29" s="24"/>
      <c r="AY29" s="23"/>
      <c r="AZ29" s="23"/>
      <c r="BA29" s="23"/>
      <c r="BB29" s="23"/>
      <c r="BC29" s="23"/>
      <c r="BD29" s="23"/>
      <c r="BE29" s="23"/>
      <c r="BF29" s="23"/>
      <c r="BG29" s="23"/>
      <c r="BH29" s="23"/>
      <c r="BI29" s="23"/>
      <c r="BJ29" s="23"/>
    </row>
    <row r="30" spans="1:62">
      <c r="A30" s="23"/>
      <c r="B30" s="6" t="s">
        <v>887</v>
      </c>
      <c r="C30" s="6" t="s">
        <v>888</v>
      </c>
      <c r="D30" s="6">
        <v>0.15</v>
      </c>
      <c r="E30" s="6" t="s">
        <v>145</v>
      </c>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4"/>
      <c r="AO30" s="23"/>
      <c r="AP30" s="23"/>
      <c r="AQ30" s="23"/>
      <c r="AR30" s="23"/>
      <c r="AS30" s="23"/>
      <c r="AT30" s="23"/>
      <c r="AU30" s="23"/>
      <c r="AV30" s="23"/>
      <c r="AW30" s="23"/>
      <c r="AX30" s="24"/>
      <c r="AY30" s="23"/>
      <c r="AZ30" s="23"/>
      <c r="BA30" s="23"/>
      <c r="BB30" s="23"/>
      <c r="BC30" s="23"/>
      <c r="BD30" s="23"/>
      <c r="BE30" s="23"/>
      <c r="BF30" s="23"/>
      <c r="BG30" s="23"/>
      <c r="BH30" s="23"/>
      <c r="BI30" s="23"/>
      <c r="BJ30" s="23"/>
    </row>
    <row r="31" spans="1:62">
      <c r="A31" s="23"/>
      <c r="B31" s="6" t="s">
        <v>578</v>
      </c>
      <c r="C31" s="6" t="s">
        <v>142</v>
      </c>
      <c r="D31" s="6">
        <v>0.36499999999999999</v>
      </c>
      <c r="E31" s="6" t="s">
        <v>142</v>
      </c>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4"/>
      <c r="AO31" s="23"/>
      <c r="AP31" s="23"/>
      <c r="AQ31" s="23"/>
      <c r="AR31" s="23"/>
      <c r="AS31" s="23"/>
      <c r="AT31" s="23"/>
      <c r="AU31" s="23"/>
      <c r="AV31" s="23"/>
      <c r="AW31" s="23"/>
      <c r="AX31" s="24"/>
      <c r="AY31" s="23"/>
      <c r="AZ31" s="23"/>
      <c r="BA31" s="23"/>
      <c r="BB31" s="23"/>
      <c r="BC31" s="23"/>
      <c r="BD31" s="23"/>
      <c r="BE31" s="23"/>
      <c r="BF31" s="23"/>
      <c r="BG31" s="23"/>
      <c r="BH31" s="23"/>
      <c r="BI31" s="23"/>
      <c r="BJ31" s="23"/>
    </row>
    <row r="32" spans="1:62">
      <c r="A32" s="23"/>
      <c r="B32" s="6" t="s">
        <v>889</v>
      </c>
      <c r="C32" s="6" t="s">
        <v>890</v>
      </c>
      <c r="D32" s="6">
        <v>1.1000000000000001</v>
      </c>
      <c r="E32" s="6" t="s">
        <v>145</v>
      </c>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4"/>
      <c r="AO32" s="23"/>
      <c r="AP32" s="23"/>
      <c r="AQ32" s="23"/>
      <c r="AR32" s="23"/>
      <c r="AS32" s="23"/>
      <c r="AT32" s="23"/>
      <c r="AU32" s="23"/>
      <c r="AV32" s="23"/>
      <c r="AW32" s="23"/>
      <c r="AX32" s="24"/>
      <c r="AY32" s="23"/>
      <c r="AZ32" s="23"/>
      <c r="BA32" s="23"/>
      <c r="BB32" s="23"/>
      <c r="BC32" s="23"/>
      <c r="BD32" s="23"/>
      <c r="BE32" s="23"/>
      <c r="BF32" s="23"/>
      <c r="BG32" s="23"/>
      <c r="BH32" s="23"/>
      <c r="BI32" s="23"/>
      <c r="BJ32" s="23"/>
    </row>
    <row r="33" spans="1:62">
      <c r="A33" s="23"/>
      <c r="B33" s="45" t="s">
        <v>891</v>
      </c>
      <c r="C33" s="45" t="s">
        <v>722</v>
      </c>
      <c r="D33" s="222">
        <v>83</v>
      </c>
      <c r="E33" s="45" t="s">
        <v>142</v>
      </c>
      <c r="F33" s="23" t="s">
        <v>892</v>
      </c>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4"/>
      <c r="AO33" s="23"/>
      <c r="AP33" s="23"/>
      <c r="AQ33" s="23"/>
      <c r="AR33" s="23"/>
      <c r="AS33" s="23"/>
      <c r="AT33" s="23"/>
      <c r="AU33" s="23"/>
      <c r="AV33" s="23"/>
      <c r="AW33" s="23"/>
      <c r="AX33" s="24"/>
      <c r="AY33" s="23"/>
      <c r="AZ33" s="23"/>
      <c r="BA33" s="23"/>
      <c r="BB33" s="23"/>
      <c r="BC33" s="23"/>
      <c r="BD33" s="23"/>
      <c r="BE33" s="23"/>
      <c r="BF33" s="23"/>
      <c r="BG33" s="23"/>
      <c r="BH33" s="23"/>
      <c r="BI33" s="23"/>
      <c r="BJ33" s="23"/>
    </row>
    <row r="34" spans="1:62">
      <c r="A34" s="23"/>
      <c r="B34" s="6" t="s">
        <v>937</v>
      </c>
      <c r="C34" s="6" t="s">
        <v>142</v>
      </c>
      <c r="D34" s="6">
        <f>主翼翼型1!R18</f>
        <v>14.593327618117016</v>
      </c>
      <c r="E34" s="6" t="s">
        <v>495</v>
      </c>
      <c r="F34" s="23" t="s">
        <v>893</v>
      </c>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4"/>
      <c r="AO34" s="23"/>
      <c r="AP34" s="23"/>
      <c r="AQ34" s="23"/>
      <c r="AR34" s="23"/>
      <c r="AS34" s="23"/>
      <c r="AT34" s="23"/>
      <c r="AU34" s="23"/>
      <c r="AV34" s="23"/>
      <c r="AW34" s="23"/>
      <c r="AX34" s="24"/>
      <c r="AY34" s="23"/>
      <c r="AZ34" s="23"/>
      <c r="BA34" s="23"/>
      <c r="BB34" s="23"/>
      <c r="BC34" s="23"/>
      <c r="BD34" s="23"/>
      <c r="BE34" s="23"/>
      <c r="BF34" s="23"/>
      <c r="BG34" s="23"/>
      <c r="BH34" s="23"/>
      <c r="BI34" s="23"/>
      <c r="BJ34" s="23"/>
    </row>
    <row r="35" spans="1:62">
      <c r="A35" s="23"/>
      <c r="B35" s="6" t="s">
        <v>938</v>
      </c>
      <c r="C35" s="6" t="s">
        <v>142</v>
      </c>
      <c r="D35" s="6">
        <f>主翼翼型2!R18</f>
        <v>13.990265696087992</v>
      </c>
      <c r="E35" s="6" t="s">
        <v>495</v>
      </c>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4"/>
      <c r="AO35" s="23"/>
      <c r="AP35" s="23"/>
      <c r="AQ35" s="23"/>
      <c r="AR35" s="23"/>
      <c r="AS35" s="23"/>
      <c r="AT35" s="23"/>
      <c r="AU35" s="23"/>
      <c r="AV35" s="23"/>
      <c r="AW35" s="23"/>
      <c r="AX35" s="24"/>
      <c r="AY35" s="23"/>
      <c r="AZ35" s="23"/>
      <c r="BA35" s="23"/>
      <c r="BB35" s="23"/>
      <c r="BC35" s="23"/>
      <c r="BD35" s="23"/>
      <c r="BE35" s="23"/>
      <c r="BF35" s="23"/>
      <c r="BG35" s="23"/>
      <c r="BH35" s="23"/>
      <c r="BI35" s="23"/>
      <c r="BJ35" s="23"/>
    </row>
    <row r="36" spans="1:62">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4"/>
      <c r="AO36" s="23"/>
      <c r="AP36" s="23"/>
      <c r="AQ36" s="23"/>
      <c r="AR36" s="23"/>
      <c r="AS36" s="23"/>
      <c r="AT36" s="23"/>
      <c r="AU36" s="23"/>
      <c r="AV36" s="23"/>
      <c r="AW36" s="23"/>
      <c r="AX36" s="24"/>
      <c r="AY36" s="23"/>
      <c r="AZ36" s="23"/>
      <c r="BA36" s="23"/>
      <c r="BB36" s="23"/>
      <c r="BC36" s="23"/>
      <c r="BD36" s="23"/>
      <c r="BE36" s="23"/>
      <c r="BF36" s="23"/>
      <c r="BG36" s="23"/>
      <c r="BH36" s="23"/>
      <c r="BI36" s="23"/>
      <c r="BJ36" s="23"/>
    </row>
    <row r="37" spans="1:62">
      <c r="A37" s="22"/>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4"/>
      <c r="AO37" s="23"/>
      <c r="AP37" s="23"/>
      <c r="AQ37" s="23"/>
      <c r="AR37" s="23"/>
      <c r="AS37" s="23"/>
      <c r="AT37" s="23"/>
      <c r="AU37" s="23"/>
      <c r="AV37" s="23"/>
      <c r="AW37" s="23"/>
      <c r="AX37" s="24"/>
      <c r="AY37" s="23"/>
      <c r="AZ37" s="23"/>
      <c r="BA37" s="23"/>
      <c r="BB37" s="23"/>
      <c r="BC37" s="23"/>
      <c r="BD37" s="23"/>
      <c r="BE37" s="23"/>
      <c r="BF37" s="23"/>
      <c r="BG37" s="23"/>
      <c r="BH37" s="23"/>
      <c r="BI37" s="23"/>
      <c r="BJ37" s="23"/>
    </row>
    <row r="38" spans="1:62">
      <c r="A38" s="22"/>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4"/>
      <c r="AO38" s="23"/>
      <c r="AP38" s="23"/>
      <c r="AQ38" s="23"/>
      <c r="AR38" s="23"/>
      <c r="AS38" s="23"/>
      <c r="AT38" s="23"/>
      <c r="AU38" s="23"/>
      <c r="AV38" s="23"/>
      <c r="AW38" s="23"/>
      <c r="AX38" s="24"/>
      <c r="AY38" s="23"/>
      <c r="AZ38" s="23"/>
      <c r="BA38" s="23"/>
      <c r="BB38" s="23"/>
      <c r="BC38" s="23"/>
      <c r="BD38" s="23"/>
      <c r="BE38" s="23"/>
      <c r="BF38" s="23"/>
      <c r="BG38" s="23"/>
      <c r="BH38" s="23"/>
      <c r="BI38" s="23"/>
      <c r="BJ38" s="23"/>
    </row>
    <row r="39" spans="1:62" ht="19.5" thickBot="1">
      <c r="A39" s="39"/>
      <c r="B39" s="40"/>
      <c r="C39" s="40"/>
      <c r="D39" s="40"/>
      <c r="E39" s="40"/>
      <c r="F39" s="40"/>
      <c r="G39" s="40"/>
      <c r="H39" s="40"/>
      <c r="I39" s="40"/>
      <c r="J39" s="40"/>
      <c r="K39" s="40"/>
      <c r="L39" s="40"/>
      <c r="M39" s="40"/>
      <c r="N39" s="40"/>
      <c r="O39" s="40"/>
      <c r="P39" s="40"/>
      <c r="Q39" s="40"/>
      <c r="R39" s="40"/>
      <c r="S39" s="40"/>
      <c r="T39" s="40"/>
      <c r="U39" s="40"/>
      <c r="V39" s="40"/>
      <c r="W39" s="40"/>
      <c r="X39" s="40"/>
      <c r="Y39" s="40"/>
      <c r="Z39" s="40"/>
      <c r="AA39" s="40"/>
      <c r="AB39" s="40"/>
      <c r="AC39" s="40"/>
      <c r="AD39" s="40"/>
      <c r="AE39" s="40"/>
      <c r="AF39" s="40"/>
      <c r="AG39" s="40"/>
      <c r="AH39" s="40"/>
      <c r="AI39" s="40"/>
      <c r="AJ39" s="40"/>
      <c r="AK39" s="40"/>
      <c r="AL39" s="40"/>
      <c r="AM39" s="40"/>
      <c r="AN39" s="41"/>
      <c r="AO39" s="40"/>
      <c r="AP39" s="40"/>
      <c r="AQ39" s="40"/>
      <c r="AR39" s="40"/>
      <c r="AS39" s="40"/>
      <c r="AT39" s="40"/>
      <c r="AU39" s="40"/>
      <c r="AV39" s="40"/>
      <c r="AW39" s="40"/>
      <c r="AX39" s="41"/>
      <c r="AY39" s="40"/>
      <c r="AZ39" s="40"/>
      <c r="BA39" s="40"/>
      <c r="BB39" s="40"/>
      <c r="BC39" s="40"/>
      <c r="BD39" s="40"/>
      <c r="BE39" s="40"/>
      <c r="BF39" s="40"/>
      <c r="BG39" s="40"/>
      <c r="BH39" s="40"/>
      <c r="BI39" s="40"/>
      <c r="BJ39" s="40"/>
    </row>
    <row r="40" spans="1:62">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row>
    <row r="41" spans="1:62">
      <c r="A41" s="22"/>
      <c r="B41" s="6" t="s">
        <v>816</v>
      </c>
      <c r="C41" s="6">
        <f>MATCH(0,C46:C137, 0) - 1</f>
        <v>88</v>
      </c>
      <c r="D41" s="23"/>
      <c r="E41" s="23"/>
      <c r="F41" s="23"/>
      <c r="G41" s="23"/>
      <c r="H41" s="23"/>
      <c r="I41" s="23"/>
      <c r="J41" s="23"/>
      <c r="K41" s="23"/>
      <c r="M41" s="23"/>
      <c r="N41" s="23"/>
      <c r="O41" s="23"/>
      <c r="P41" s="23"/>
      <c r="Q41" s="23"/>
      <c r="R41" s="23"/>
      <c r="S41" s="23"/>
      <c r="T41" s="23" t="s">
        <v>619</v>
      </c>
      <c r="U41" s="23"/>
      <c r="V41" s="23"/>
      <c r="W41" s="23"/>
      <c r="X41" s="23" t="s">
        <v>620</v>
      </c>
      <c r="Y41" s="23"/>
      <c r="Z41" s="23"/>
      <c r="AA41" s="23"/>
      <c r="AB41" s="23" t="s">
        <v>621</v>
      </c>
      <c r="AC41" s="23"/>
      <c r="AD41" s="23"/>
      <c r="AE41" s="23"/>
      <c r="AF41" s="23" t="s">
        <v>622</v>
      </c>
      <c r="AG41" s="23"/>
      <c r="AH41" s="23" t="s">
        <v>894</v>
      </c>
      <c r="AI41" s="23" t="s">
        <v>895</v>
      </c>
      <c r="AJ41" s="23" t="s">
        <v>896</v>
      </c>
      <c r="AK41" s="23"/>
      <c r="AL41" s="23"/>
      <c r="AM41" s="23"/>
      <c r="AN41" s="23"/>
      <c r="AO41" s="23"/>
      <c r="AP41" s="23" t="s">
        <v>897</v>
      </c>
      <c r="AQ41" s="23"/>
      <c r="AR41" s="23"/>
      <c r="AS41" s="23"/>
      <c r="AT41" s="23"/>
      <c r="AU41" s="23" t="s">
        <v>898</v>
      </c>
      <c r="AV41" s="23"/>
      <c r="AW41" s="23"/>
      <c r="AX41" s="166"/>
      <c r="AY41" s="23" t="s">
        <v>899</v>
      </c>
      <c r="AZ41" s="23"/>
      <c r="BA41" s="23"/>
      <c r="BB41" s="23"/>
      <c r="BC41" s="23" t="s">
        <v>99</v>
      </c>
      <c r="BD41" s="23"/>
      <c r="BE41" s="23"/>
      <c r="BF41" s="23"/>
      <c r="BG41" s="23" t="s">
        <v>841</v>
      </c>
      <c r="BH41" s="23"/>
      <c r="BI41" s="23"/>
      <c r="BJ41" s="23"/>
    </row>
    <row r="42" spans="1:62">
      <c r="A42" s="22"/>
      <c r="B42" s="2" t="s">
        <v>435</v>
      </c>
      <c r="C42" s="2" t="s">
        <v>958</v>
      </c>
      <c r="D42" s="2" t="s">
        <v>758</v>
      </c>
      <c r="E42" s="2" t="s">
        <v>996</v>
      </c>
      <c r="F42" s="2" t="s">
        <v>900</v>
      </c>
      <c r="G42" s="2" t="s">
        <v>901</v>
      </c>
      <c r="H42" s="2" t="s">
        <v>902</v>
      </c>
      <c r="I42" s="2" t="s">
        <v>903</v>
      </c>
      <c r="J42" s="2" t="s">
        <v>904</v>
      </c>
      <c r="K42" s="2"/>
      <c r="L42" s="2" t="s">
        <v>905</v>
      </c>
      <c r="M42" s="2" t="s">
        <v>898</v>
      </c>
      <c r="N42" s="2" t="s">
        <v>906</v>
      </c>
      <c r="O42" s="2" t="s">
        <v>907</v>
      </c>
      <c r="P42" s="2" t="s">
        <v>475</v>
      </c>
      <c r="Q42" s="2" t="s">
        <v>853</v>
      </c>
      <c r="R42" s="2" t="s">
        <v>908</v>
      </c>
      <c r="S42" s="2" t="s">
        <v>909</v>
      </c>
      <c r="T42" s="2" t="s">
        <v>856</v>
      </c>
      <c r="U42" s="2" t="s">
        <v>857</v>
      </c>
      <c r="V42" s="2" t="s">
        <v>858</v>
      </c>
      <c r="W42" s="2" t="s">
        <v>859</v>
      </c>
      <c r="X42" s="2" t="s">
        <v>856</v>
      </c>
      <c r="Y42" s="2" t="s">
        <v>857</v>
      </c>
      <c r="Z42" s="2" t="s">
        <v>858</v>
      </c>
      <c r="AA42" s="2" t="s">
        <v>859</v>
      </c>
      <c r="AB42" s="2" t="s">
        <v>856</v>
      </c>
      <c r="AC42" s="2" t="s">
        <v>857</v>
      </c>
      <c r="AD42" s="2" t="s">
        <v>858</v>
      </c>
      <c r="AE42" s="2" t="s">
        <v>859</v>
      </c>
      <c r="AF42" s="2" t="s">
        <v>856</v>
      </c>
      <c r="AG42" s="2" t="s">
        <v>857</v>
      </c>
      <c r="AH42" s="2" t="s">
        <v>858</v>
      </c>
      <c r="AI42" s="2" t="s">
        <v>859</v>
      </c>
      <c r="AJ42" s="2" t="s">
        <v>1005</v>
      </c>
      <c r="AK42" s="2" t="s">
        <v>944</v>
      </c>
      <c r="AL42" s="2" t="s">
        <v>609</v>
      </c>
      <c r="AM42" s="223" t="s">
        <v>574</v>
      </c>
      <c r="AN42" s="224"/>
      <c r="AO42" s="2" t="s">
        <v>910</v>
      </c>
      <c r="AP42" s="152" t="s">
        <v>911</v>
      </c>
      <c r="AQ42" s="152" t="s">
        <v>912</v>
      </c>
      <c r="AR42" s="152" t="s">
        <v>913</v>
      </c>
      <c r="AS42" s="152" t="s">
        <v>855</v>
      </c>
      <c r="AT42" s="152" t="s">
        <v>914</v>
      </c>
      <c r="AU42" s="152" t="s">
        <v>619</v>
      </c>
      <c r="AV42" s="152" t="s">
        <v>620</v>
      </c>
      <c r="AW42" s="152" t="s">
        <v>621</v>
      </c>
      <c r="AX42" s="225" t="s">
        <v>622</v>
      </c>
      <c r="AY42" s="152" t="s">
        <v>619</v>
      </c>
      <c r="AZ42" s="152" t="s">
        <v>620</v>
      </c>
      <c r="BA42" s="152" t="s">
        <v>621</v>
      </c>
      <c r="BB42" s="152" t="s">
        <v>622</v>
      </c>
      <c r="BC42" s="152" t="s">
        <v>619</v>
      </c>
      <c r="BD42" s="152" t="s">
        <v>620</v>
      </c>
      <c r="BE42" s="152" t="s">
        <v>621</v>
      </c>
      <c r="BF42" s="152" t="s">
        <v>622</v>
      </c>
      <c r="BG42" s="152" t="s">
        <v>99</v>
      </c>
      <c r="BH42" s="23"/>
      <c r="BI42" s="23"/>
      <c r="BJ42" s="23"/>
    </row>
    <row r="43" spans="1:62">
      <c r="A43" s="22"/>
      <c r="B43" s="6" t="s">
        <v>261</v>
      </c>
      <c r="C43" s="6" t="s">
        <v>1008</v>
      </c>
      <c r="D43" s="6" t="s">
        <v>142</v>
      </c>
      <c r="E43" s="12" t="s">
        <v>142</v>
      </c>
      <c r="F43" s="6" t="s">
        <v>866</v>
      </c>
      <c r="G43" s="6" t="s">
        <v>867</v>
      </c>
      <c r="H43" s="6" t="s">
        <v>868</v>
      </c>
      <c r="I43" s="6" t="s">
        <v>865</v>
      </c>
      <c r="J43" s="6" t="s">
        <v>759</v>
      </c>
      <c r="K43" s="6" t="s">
        <v>760</v>
      </c>
      <c r="L43" s="6" t="s">
        <v>761</v>
      </c>
      <c r="M43" s="6" t="s">
        <v>762</v>
      </c>
      <c r="N43" s="6" t="s">
        <v>763</v>
      </c>
      <c r="O43" s="6" t="s">
        <v>764</v>
      </c>
      <c r="P43" s="6" t="s">
        <v>765</v>
      </c>
      <c r="Q43" s="6" t="s">
        <v>328</v>
      </c>
      <c r="R43" s="6" t="s">
        <v>766</v>
      </c>
      <c r="S43" s="6" t="s">
        <v>767</v>
      </c>
      <c r="T43" s="6" t="s">
        <v>866</v>
      </c>
      <c r="U43" s="6" t="s">
        <v>867</v>
      </c>
      <c r="V43" s="6" t="s">
        <v>868</v>
      </c>
      <c r="W43" s="6" t="s">
        <v>865</v>
      </c>
      <c r="X43" s="6" t="s">
        <v>866</v>
      </c>
      <c r="Y43" s="6" t="s">
        <v>867</v>
      </c>
      <c r="Z43" s="6" t="s">
        <v>868</v>
      </c>
      <c r="AA43" s="6" t="s">
        <v>865</v>
      </c>
      <c r="AB43" s="6" t="s">
        <v>866</v>
      </c>
      <c r="AC43" s="6" t="s">
        <v>867</v>
      </c>
      <c r="AD43" s="6" t="s">
        <v>868</v>
      </c>
      <c r="AE43" s="6" t="s">
        <v>865</v>
      </c>
      <c r="AF43" s="6" t="s">
        <v>866</v>
      </c>
      <c r="AG43" s="6" t="s">
        <v>867</v>
      </c>
      <c r="AH43" s="6" t="s">
        <v>868</v>
      </c>
      <c r="AI43" s="6" t="s">
        <v>865</v>
      </c>
      <c r="AJ43" s="6" t="s">
        <v>142</v>
      </c>
      <c r="AK43" s="6" t="s">
        <v>142</v>
      </c>
      <c r="AL43" s="6" t="s">
        <v>724</v>
      </c>
      <c r="AM43" s="6" t="s">
        <v>142</v>
      </c>
      <c r="AN43" s="6" t="s">
        <v>142</v>
      </c>
      <c r="AO43" s="6" t="s">
        <v>142</v>
      </c>
      <c r="AP43" s="6" t="s">
        <v>768</v>
      </c>
      <c r="AQ43" s="6" t="s">
        <v>264</v>
      </c>
      <c r="AR43" s="6" t="s">
        <v>769</v>
      </c>
      <c r="AS43" s="6" t="s">
        <v>327</v>
      </c>
      <c r="AT43" s="6" t="s">
        <v>770</v>
      </c>
      <c r="AU43" s="6" t="s">
        <v>142</v>
      </c>
      <c r="AV43" s="6" t="s">
        <v>142</v>
      </c>
      <c r="AW43" s="6" t="s">
        <v>142</v>
      </c>
      <c r="AX43" s="6" t="s">
        <v>142</v>
      </c>
      <c r="AY43" s="6" t="s">
        <v>142</v>
      </c>
      <c r="AZ43" s="6" t="s">
        <v>142</v>
      </c>
      <c r="BA43" s="6" t="s">
        <v>142</v>
      </c>
      <c r="BB43" s="6" t="s">
        <v>142</v>
      </c>
      <c r="BC43" s="6" t="s">
        <v>142</v>
      </c>
      <c r="BD43" s="6" t="s">
        <v>142</v>
      </c>
      <c r="BE43" s="6" t="s">
        <v>142</v>
      </c>
      <c r="BF43" s="6" t="s">
        <v>142</v>
      </c>
      <c r="BG43" s="6" t="s">
        <v>142</v>
      </c>
      <c r="BH43" s="23"/>
      <c r="BI43" s="23"/>
      <c r="BJ43" s="23"/>
    </row>
    <row r="44" spans="1:62" ht="19.5" thickBot="1">
      <c r="A44" s="22"/>
      <c r="B44" s="11" t="s">
        <v>263</v>
      </c>
      <c r="C44" s="11" t="s">
        <v>142</v>
      </c>
      <c r="D44" s="11" t="s">
        <v>142</v>
      </c>
      <c r="E44" s="11" t="s">
        <v>98</v>
      </c>
      <c r="F44" s="11" t="s">
        <v>631</v>
      </c>
      <c r="G44" s="11" t="s">
        <v>631</v>
      </c>
      <c r="H44" s="11" t="s">
        <v>631</v>
      </c>
      <c r="I44" s="11" t="s">
        <v>631</v>
      </c>
      <c r="J44" s="11" t="s">
        <v>771</v>
      </c>
      <c r="K44" s="11" t="s">
        <v>771</v>
      </c>
      <c r="L44" s="11" t="s">
        <v>771</v>
      </c>
      <c r="M44" s="11" t="s">
        <v>772</v>
      </c>
      <c r="N44" s="11" t="s">
        <v>773</v>
      </c>
      <c r="O44" s="11" t="s">
        <v>631</v>
      </c>
      <c r="P44" s="11" t="s">
        <v>496</v>
      </c>
      <c r="Q44" s="11" t="s">
        <v>496</v>
      </c>
      <c r="R44" s="11" t="s">
        <v>774</v>
      </c>
      <c r="S44" s="11" t="s">
        <v>774</v>
      </c>
      <c r="T44" s="11" t="s">
        <v>631</v>
      </c>
      <c r="U44" s="11" t="s">
        <v>631</v>
      </c>
      <c r="V44" s="11" t="s">
        <v>631</v>
      </c>
      <c r="W44" s="11" t="s">
        <v>631</v>
      </c>
      <c r="X44" s="11" t="s">
        <v>631</v>
      </c>
      <c r="Y44" s="11" t="s">
        <v>631</v>
      </c>
      <c r="Z44" s="11" t="s">
        <v>631</v>
      </c>
      <c r="AA44" s="11" t="s">
        <v>631</v>
      </c>
      <c r="AB44" s="11" t="s">
        <v>631</v>
      </c>
      <c r="AC44" s="11" t="s">
        <v>631</v>
      </c>
      <c r="AD44" s="11" t="s">
        <v>631</v>
      </c>
      <c r="AE44" s="11" t="s">
        <v>631</v>
      </c>
      <c r="AF44" s="11" t="s">
        <v>631</v>
      </c>
      <c r="AG44" s="11" t="s">
        <v>631</v>
      </c>
      <c r="AH44" s="11" t="s">
        <v>631</v>
      </c>
      <c r="AI44" s="11" t="s">
        <v>631</v>
      </c>
      <c r="AJ44" s="11" t="s">
        <v>142</v>
      </c>
      <c r="AK44" s="11" t="s">
        <v>142</v>
      </c>
      <c r="AL44" s="11" t="s">
        <v>98</v>
      </c>
      <c r="AM44" s="11" t="s">
        <v>495</v>
      </c>
      <c r="AN44" s="11" t="s">
        <v>631</v>
      </c>
      <c r="AO44" s="11" t="s">
        <v>631</v>
      </c>
      <c r="AP44" s="11" t="s">
        <v>775</v>
      </c>
      <c r="AQ44" s="11" t="s">
        <v>776</v>
      </c>
      <c r="AR44" s="11" t="s">
        <v>777</v>
      </c>
      <c r="AS44" s="11" t="s">
        <v>775</v>
      </c>
      <c r="AT44" s="11" t="s">
        <v>142</v>
      </c>
      <c r="AU44" s="11" t="s">
        <v>772</v>
      </c>
      <c r="AV44" s="11" t="s">
        <v>915</v>
      </c>
      <c r="AW44" s="11" t="s">
        <v>916</v>
      </c>
      <c r="AX44" s="11" t="s">
        <v>916</v>
      </c>
      <c r="AY44" s="11" t="s">
        <v>917</v>
      </c>
      <c r="AZ44" s="11" t="s">
        <v>917</v>
      </c>
      <c r="BA44" s="11" t="s">
        <v>917</v>
      </c>
      <c r="BB44" s="11" t="s">
        <v>917</v>
      </c>
      <c r="BC44" s="11" t="s">
        <v>320</v>
      </c>
      <c r="BD44" s="11" t="s">
        <v>320</v>
      </c>
      <c r="BE44" s="11" t="s">
        <v>320</v>
      </c>
      <c r="BF44" s="11" t="s">
        <v>320</v>
      </c>
      <c r="BG44" s="11" t="s">
        <v>320</v>
      </c>
      <c r="BH44" s="23"/>
      <c r="BI44" s="23"/>
      <c r="BJ44" s="23"/>
    </row>
    <row r="45" spans="1:62" ht="19.5" thickTop="1">
      <c r="A45" s="22"/>
      <c r="B45" s="12" t="s">
        <v>262</v>
      </c>
      <c r="C45" s="158">
        <f>'主翼(型紙出力)'!B51</f>
        <v>0</v>
      </c>
      <c r="D45" s="226" t="str">
        <f>IF(E45&lt;$M$8,"0",IF(E45&lt;$M$9,"0-1接合",IF(E45&lt;$M$10,"1",IF(E45&lt;$M$11,"1-2接合",IF(E45&lt;$M$12,"2",IF(E45&lt;$M$13,"2-3接合",3))))))</f>
        <v>0</v>
      </c>
      <c r="E45" s="12">
        <f>'主翼(型紙出力)'!C51</f>
        <v>0</v>
      </c>
      <c r="F45" s="12">
        <f>MAX(T45,X45,AB45,AF45)/2</f>
        <v>60.554000000000002</v>
      </c>
      <c r="G45" s="12">
        <f>MAX(U45,Y45,AC45,AG45)/2</f>
        <v>60.554000000000002</v>
      </c>
      <c r="H45" s="12">
        <f>MIN(V45,Z45,AD45,AH45)/2</f>
        <v>59</v>
      </c>
      <c r="I45" s="12">
        <f>MIN(W45,AA45,AE45,AI45)/2</f>
        <v>59</v>
      </c>
      <c r="J45" s="200">
        <v>1042837.1352843994</v>
      </c>
      <c r="K45" s="200">
        <v>1042837.1352844009</v>
      </c>
      <c r="L45" s="200">
        <v>2085674.2725096687</v>
      </c>
      <c r="M45" s="201">
        <v>583.68462362368382</v>
      </c>
      <c r="N45" s="201">
        <v>11225.820761774263</v>
      </c>
      <c r="O45" s="195">
        <v>375.6014309029465</v>
      </c>
      <c r="P45" s="6">
        <f>IF(E45&lt;$M$8,$G$6,IF(E45&lt;$M$9,($G$6+$G$8)/2,IF(E45&lt;$M$10,$G$8,IF(E45&lt;$M$11,($G$8+$G$9)/2,IF(E45&lt;$M$12,$G$9,IF(E45&lt;$M$13,($G$9+$G$10)/2,IF(E45&lt;$M$15,G9)))))))</f>
        <v>123.85352914310199</v>
      </c>
      <c r="Q45" s="12">
        <f>IF(E45&lt;$M$8,$H$6,IF(E45&lt;$M$9,($H$6+$H$8)/2,IF(E45&lt;$M$10,$H$8,IF(E45&lt;$M$11,($H$8+$H$9)/2,IF(E45&lt;$M$12,$H$9,IF(E45&lt;$M$13,($H$9+$H$10)/2,IF(E45&lt;$M$15,$H$10)))))))</f>
        <v>17.173737764593685</v>
      </c>
      <c r="R45" s="96">
        <f>P45*(10^9)*J45*(10^-12)</f>
        <v>129159.05952645534</v>
      </c>
      <c r="S45" s="202">
        <f>Q45*(10^9)*L45*(10^-12)</f>
        <v>35818.823018440758</v>
      </c>
      <c r="T45" s="12">
        <f>IF(V45="","",V45+2*$D$28*$C$6)</f>
        <v>121.108</v>
      </c>
      <c r="U45" s="12">
        <f>IF(W45="","",W45+2*$D$28*$D$6)</f>
        <v>121.108</v>
      </c>
      <c r="V45" s="12">
        <f>IF(E45&lt;$M$7,$AD$6*E45+$AE$6,IF(E45&lt;$M$8,$AD$7*E45+$AE$7,IF(E45&lt;$M$9,$AD$8*E45+$AE$8,"")))</f>
        <v>118</v>
      </c>
      <c r="W45" s="12">
        <f>IF(V45="","",V45*$D$20)</f>
        <v>118</v>
      </c>
      <c r="X45" s="12" t="str">
        <f>IF(Z45="","",Z45+2*$D$27*$C$8)</f>
        <v/>
      </c>
      <c r="Y45" s="12" t="str">
        <f>IF(AA45="","",AA45+2*$D$27*$D$8)</f>
        <v/>
      </c>
      <c r="Z45" s="12" t="str">
        <f>IF(E45&lt;$M$8,"",IF(E45&lt;$M$9,$AF$8*E45+$AG$8,IF(E45&lt;$M$10,$AF$9*E45+$AG$9,IF(E45&lt;$M$11,$AF$10*E45+$AG$10,""))))</f>
        <v/>
      </c>
      <c r="AA45" s="6" t="str">
        <f>IF(Z45="","",Z45*$D$21)</f>
        <v/>
      </c>
      <c r="AB45" s="12" t="str">
        <f>IF(AD45="","",AD45+2*$D$27*$C$9)</f>
        <v/>
      </c>
      <c r="AC45" s="12" t="str">
        <f>IF(AE45="","",AE45+2*$D$27*$D$9)</f>
        <v/>
      </c>
      <c r="AD45" s="12" t="str">
        <f>IF(E45&lt;$M$10,"",IF(E45&lt;$M$11,$AH$10*E45+$AI$10,IF(E45&lt;$M$12,$AH$11*E45+$AI$11,IF(E45&lt;$M$13,$AH$12*E45+$AI$12,""))))</f>
        <v/>
      </c>
      <c r="AE45" s="12" t="str">
        <f>IF(AD45="","",AD45*$D$22)</f>
        <v/>
      </c>
      <c r="AF45" s="12"/>
      <c r="AG45" s="12"/>
      <c r="AH45" s="12" t="str">
        <f t="shared" ref="AH45:AH108" si="0">IF(E45&lt;$M$12,"",IF(E45&lt;$M$13,$AJ$12*E45+$AK$12,IF(E45&lt;=$M$15,$AJ$13*E45+$AK$13,"")))</f>
        <v/>
      </c>
      <c r="AI45" s="6" t="str">
        <f>IF(AH45="","",AH45*$D$23)</f>
        <v/>
      </c>
      <c r="AJ45" s="12">
        <f>'主翼(型紙出力)'!AE51/100</f>
        <v>1</v>
      </c>
      <c r="AK45" s="12">
        <f>'主翼(型紙出力)'!AG51/100</f>
        <v>0</v>
      </c>
      <c r="AL45" s="12">
        <f>'主翼(型紙出力)'!D51/1000</f>
        <v>1.1000000000000001</v>
      </c>
      <c r="AM45" s="12">
        <f>AJ45*$D$34+AK45*$D$35</f>
        <v>14.593327618117016</v>
      </c>
      <c r="AN45" s="12">
        <f>AL45*(AM45/100)*1000</f>
        <v>160.52660379928719</v>
      </c>
      <c r="AO45" s="12">
        <f>AN45-F45*2</f>
        <v>39.418603799287183</v>
      </c>
      <c r="AP45" s="158">
        <f>IF(E45&lt;$M$8,$J$6,IF(E45&lt;$M$9,($J$6+$J$8)/2,IF(E45&lt;$M$10,$J$8,IF(E45&lt;$M$11,($J$8+$J$9)/2,$J$9))))</f>
        <v>-955.86400000000003</v>
      </c>
      <c r="AQ45" s="217">
        <v>2247532.2373210345</v>
      </c>
      <c r="AR45" s="158">
        <f>-AQ45*AVERAGE(F45,H45)/J45</f>
        <v>-128.83194317173962</v>
      </c>
      <c r="AS45" s="158">
        <f>AR45*(F45-H45)</f>
        <v>-200.20483968888365</v>
      </c>
      <c r="AT45" s="12">
        <f>AP45/AS45</f>
        <v>4.7744300361839569</v>
      </c>
      <c r="AU45" s="12">
        <f>IF(T45="","",PI()*(T45*U45-V45*W45)/4)</f>
        <v>583.66681043870551</v>
      </c>
      <c r="AV45" s="12" t="str">
        <f>IF(X45="","",PI()*(X45*Y45-Z45*AA45)/4)</f>
        <v/>
      </c>
      <c r="AW45" s="12" t="str">
        <f>IF(AB45="","",PI()*(AB45*AC45-AD45*AE45)/4)</f>
        <v/>
      </c>
      <c r="AX45" s="12" t="str">
        <f>IF(AF45="","",PI()*(AF45*AG45-AH45*AI45)/4)</f>
        <v/>
      </c>
      <c r="AY45" s="12">
        <f>IF(E45&lt;$M$9,AVERAGE(AU45:AU46)*(10^-6)*(E46-E45),"")</f>
        <v>8.7550021565805809E-5</v>
      </c>
      <c r="AZ45" s="12" t="str">
        <f>IF(AND(E45&lt;$M$11,E45&gt;$M$8),AVERAGE(AV46,AV45)*(10^-6)*(E46-E45),"")</f>
        <v/>
      </c>
      <c r="BA45" s="12" t="str">
        <f>IF(AND(E45&lt;$M$13,E45&gt;$M$10),AVERAGE(AW45:AW46)*(10^-6)*(E46-E45),"")</f>
        <v/>
      </c>
      <c r="BB45" s="12" t="str">
        <f>IF(AND(E45&lt;$M$14,E45&gt;$M$12),AVERAGE(AX45:AX46)*(10^-6)*(E46-E45),"")</f>
        <v/>
      </c>
      <c r="BC45" s="12">
        <f>IF(AY45="","",AY45*$AR$4*$AR$14)</f>
        <v>0.10085762484380829</v>
      </c>
      <c r="BD45" s="12" t="str">
        <f>IF(AZ45="","",AZ45*$AR$4*$AR$17)</f>
        <v/>
      </c>
      <c r="BE45" s="12" t="str">
        <f>IF(BA45="","",BA45*$AR$4*$AR$20)</f>
        <v/>
      </c>
      <c r="BF45" s="12" t="str">
        <f>IF(BB45="","",BB45*$AR$4*$AR$23)</f>
        <v/>
      </c>
      <c r="BG45" s="12">
        <f>SUM(BC45:BF45)</f>
        <v>0.10085762484380829</v>
      </c>
      <c r="BI45" s="23"/>
      <c r="BJ45" s="23"/>
    </row>
    <row r="46" spans="1:62">
      <c r="A46" s="22"/>
      <c r="B46" s="6"/>
      <c r="C46" s="100">
        <f>'主翼(型紙出力)'!B52</f>
        <v>1</v>
      </c>
      <c r="D46" s="227" t="str">
        <f>IF(E46&lt;$M$8,"0",IF(E46&lt;$M$9,"0-1接合",IF(E46&lt;$M$10,"1",IF(E46&lt;$M$11,"1-2接合",IF(E46&lt;$M$12,"2",IF(E46&lt;$M$13,"2-3接合",3))))))</f>
        <v>0</v>
      </c>
      <c r="E46" s="12">
        <f>'主翼(型紙出力)'!C52</f>
        <v>0.15</v>
      </c>
      <c r="F46" s="6">
        <f>MAX(T46,X46,AB46,AF46)/2</f>
        <v>60.554000000000002</v>
      </c>
      <c r="G46" s="6">
        <f>MAX(U46,Y46,AC46,AG46)/2</f>
        <v>60.554000000000002</v>
      </c>
      <c r="H46" s="6">
        <f>MIN(V46,Z46,AD46,AH46)/2</f>
        <v>59</v>
      </c>
      <c r="I46" s="6">
        <f>MIN(W46,AA46,AE46,AI46)/2</f>
        <v>59</v>
      </c>
      <c r="J46" s="203">
        <v>1042837.1352843994</v>
      </c>
      <c r="K46" s="203">
        <v>1042837.1352844009</v>
      </c>
      <c r="L46" s="203">
        <v>2085674.2725096687</v>
      </c>
      <c r="M46" s="204">
        <v>583.68462362368382</v>
      </c>
      <c r="N46" s="204">
        <v>11225.820761774263</v>
      </c>
      <c r="O46" s="196">
        <v>375.6014309029465</v>
      </c>
      <c r="P46" s="6">
        <f t="shared" ref="P46:P109" si="1">IF(E46&lt;$M$8,$G$6,IF(E46&lt;$M$9,($G$6+$G$8)/2,IF(E46&lt;$M$10,$G$8,IF(E46&lt;$M$11,($G$8+$G$9)/2,IF(E46&lt;$M$12,$G$9,IF(E46&lt;$M$13,($G$9+$G$10)/2,IF(E46&lt;$M$15,G10)))))))</f>
        <v>123.85352914310199</v>
      </c>
      <c r="Q46" s="12">
        <f t="shared" ref="Q46:Q109" si="2">IF(E46&lt;$M$8,$H$6,IF(E46&lt;$M$9,($H$6+$H$8)/2,IF(E46&lt;$M$10,$H$8,IF(E46&lt;$M$11,($H$8+$H$9)/2,IF(E46&lt;$M$12,$H$9,IF(E46&lt;$M$13,($H$9+$H$10)/2,IF(E46&lt;$M$15,$H$10)))))))</f>
        <v>17.173737764593685</v>
      </c>
      <c r="R46" s="96">
        <f>P46*(10^9)*J46*(10^-12)</f>
        <v>129159.05952645534</v>
      </c>
      <c r="S46" s="202">
        <f>Q46*(10^9)*L46*(10^-12)</f>
        <v>35818.823018440758</v>
      </c>
      <c r="T46" s="12">
        <f t="shared" ref="T46:T109" si="3">IF(V46="","",V46+2*$D$28*$C$6)</f>
        <v>121.108</v>
      </c>
      <c r="U46" s="12">
        <f t="shared" ref="U46:U109" si="4">IF(W46="","",W46+2*$D$28*$D$6)</f>
        <v>121.108</v>
      </c>
      <c r="V46" s="6">
        <f>IF(E46&lt;$M$7,$AD$6*E46+$AE$6,IF(E46&lt;$M$8,$AD$7*E46+$AE$7,IF(E46&lt;$M$9,$AD$8*E46+$AE$8,"")))</f>
        <v>118</v>
      </c>
      <c r="W46" s="6">
        <f>IF(V46="","",V46*$D$20)</f>
        <v>118</v>
      </c>
      <c r="X46" s="6" t="str">
        <f>IF(Z46="","",Z46+2*$D$27*$C$8)</f>
        <v/>
      </c>
      <c r="Y46" s="6" t="str">
        <f>IF(AA46="","",AA46+2*$D$27*$D$8)</f>
        <v/>
      </c>
      <c r="Z46" s="6" t="str">
        <f>IF(E46&lt;$M$8,"",IF(E46&lt;$M$9,$AF$8*E46+$AG$8,IF(E46&lt;$M$10,$AF$9*E46+$AG$9,IF(E46&lt;$M$11,$AF$10*E46+$AG$10,""))))</f>
        <v/>
      </c>
      <c r="AA46" s="6" t="str">
        <f>IF(Z46="","",Z46*$D$21)</f>
        <v/>
      </c>
      <c r="AB46" s="6" t="str">
        <f>IF(AD46="","",AD46+2*$D$27*$C$9)</f>
        <v/>
      </c>
      <c r="AC46" s="6" t="str">
        <f>IF(AE46="","",AE46+2*$D$27*$D$9)</f>
        <v/>
      </c>
      <c r="AD46" s="6" t="str">
        <f>IF(E46&lt;$M$10,"",IF(E46&lt;$M$11,$AH$10*E46+$AI$10,IF(E46&lt;$M$12,$AH$11*E46+$AI$11,IF(E46&lt;$M$13,$AH$12*E46+$AI$12,""))))</f>
        <v/>
      </c>
      <c r="AE46" s="12" t="str">
        <f>IF(AD46="","",AD46*$D$22)</f>
        <v/>
      </c>
      <c r="AF46" s="6" t="str">
        <f>IF(AH46="","",AH46+2*$D$27*$C$9)</f>
        <v/>
      </c>
      <c r="AG46" s="6" t="str">
        <f>IF(AH46="","",AI46+2*$D$27*$D$9)</f>
        <v/>
      </c>
      <c r="AH46" s="12" t="str">
        <f t="shared" si="0"/>
        <v/>
      </c>
      <c r="AI46" s="6" t="str">
        <f>IF(AH46="","",AH46*$D$23)</f>
        <v/>
      </c>
      <c r="AJ46" s="12">
        <f>'主翼(型紙出力)'!AE52/100</f>
        <v>1</v>
      </c>
      <c r="AK46" s="12">
        <f>'主翼(型紙出力)'!AG52/100</f>
        <v>0</v>
      </c>
      <c r="AL46" s="12">
        <f>'主翼(型紙出力)'!D52/1000</f>
        <v>1.1000000000000001</v>
      </c>
      <c r="AM46" s="12">
        <f>AJ46*$D$34+AK46*$D$35</f>
        <v>14.593327618117016</v>
      </c>
      <c r="AN46" s="6">
        <f>AL46*(AM46/100)*1000</f>
        <v>160.52660379928719</v>
      </c>
      <c r="AO46" s="6">
        <f>AN46-F46*2</f>
        <v>39.418603799287183</v>
      </c>
      <c r="AP46" s="100">
        <f>IF(E46&lt;$M$8,$J$6,IF(E46&lt;$M$9,($J$6+$J$8)/2,IF(E46&lt;$M$10,$J$8,IF(E46&lt;$M$11,($J$8+$J$9)/2,$J$9))))</f>
        <v>-955.86400000000003</v>
      </c>
      <c r="AQ46" s="218">
        <v>2186260.076101976</v>
      </c>
      <c r="AR46" s="100">
        <f>-AQ46*AVERAGE(F46,H46)/J46</f>
        <v>-125.3197303273123</v>
      </c>
      <c r="AS46" s="100">
        <f>AR46*(F46-H46)</f>
        <v>-194.74686092864357</v>
      </c>
      <c r="AT46" s="6">
        <f>AP46/AS46</f>
        <v>4.9082382917085088</v>
      </c>
      <c r="AU46" s="6">
        <f>IF(T46="","",PI()*(T46*U46-V46*W46)/4)</f>
        <v>583.66681043870551</v>
      </c>
      <c r="AV46" s="6" t="str">
        <f>IF(X46="","",PI()*(X46*Y46-Z46*AA46)/4)</f>
        <v/>
      </c>
      <c r="AW46" s="6" t="str">
        <f>IF(AB46="","",PI()*(AB46*AC46-AD46*AE46)/4)</f>
        <v/>
      </c>
      <c r="AX46" s="12" t="str">
        <f>IF(AF46="","",PI()*(AF46*AG46-AH46*AI46)/4)</f>
        <v/>
      </c>
      <c r="AY46" s="6">
        <f>IF(E46&lt;$M$9,AVERAGE(AU46:AU47)*(10^-6)*(E47-E46),"")</f>
        <v>8.7550021565805809E-5</v>
      </c>
      <c r="AZ46" s="6" t="str">
        <f>IF(AND(E46&lt;$M$11,E46&gt;$M$8),AVERAGE(AV47,AV46)*(10^-6)*(E47-E46),"")</f>
        <v/>
      </c>
      <c r="BA46" s="6" t="str">
        <f>IF(AND(E46&lt;$M$13,E46&gt;$M$10),AVERAGE(AW46:AW47)*(10^-6)*(E47-E46),"")</f>
        <v/>
      </c>
      <c r="BB46" s="12" t="str">
        <f>IF(AND(E46&lt;$M$14,E46&gt;$M$12),AVERAGE(AX46:AX47)*(10^-6)*(E47-E46),"")</f>
        <v/>
      </c>
      <c r="BC46" s="6">
        <f>IF(AY46="","",AY46*$AR$4*$AR$14)</f>
        <v>0.10085762484380829</v>
      </c>
      <c r="BD46" s="6" t="str">
        <f>IF(AZ46="","",AZ46*$AR$4*$AR$17)</f>
        <v/>
      </c>
      <c r="BE46" s="6" t="str">
        <f>IF(BA46="","",BA46*$AR$4*$AR$20)</f>
        <v/>
      </c>
      <c r="BF46" s="12" t="str">
        <f>IF(BB46="","",BB46*$AR$4*$AR$23)</f>
        <v/>
      </c>
      <c r="BG46" s="12">
        <f>SUM(BC46:BF46)</f>
        <v>0.10085762484380829</v>
      </c>
      <c r="BH46" s="23"/>
      <c r="BI46" s="23"/>
      <c r="BJ46" s="23"/>
    </row>
    <row r="47" spans="1:62">
      <c r="A47" s="22"/>
      <c r="B47" s="6"/>
      <c r="C47" s="158">
        <f>'主翼(型紙出力)'!B53</f>
        <v>2</v>
      </c>
      <c r="D47" s="227" t="str">
        <f t="shared" ref="D47:D110" si="5">IF(E47&lt;$M$8,"0",IF(E47&lt;$M$9,"0-1接合",IF(E47&lt;$M$10,"1",IF(E47&lt;$M$11,"1-2接合",IF(E47&lt;$M$12,"2",IF(E47&lt;$M$13,"2-3接合",3))))))</f>
        <v>0</v>
      </c>
      <c r="E47" s="12">
        <f>'主翼(型紙出力)'!C53</f>
        <v>0.3</v>
      </c>
      <c r="F47" s="6">
        <f t="shared" ref="F47:G110" si="6">MAX(T47,X47,AB47,AF47)/2</f>
        <v>60.554000000000002</v>
      </c>
      <c r="G47" s="6">
        <f t="shared" si="6"/>
        <v>60.554000000000002</v>
      </c>
      <c r="H47" s="6">
        <f t="shared" ref="H47:I110" si="7">MIN(V47,Z47,AD47,AH47)/2</f>
        <v>59</v>
      </c>
      <c r="I47" s="6">
        <f t="shared" si="7"/>
        <v>59</v>
      </c>
      <c r="J47" s="203">
        <v>1042837.1352843994</v>
      </c>
      <c r="K47" s="203">
        <v>1042837.1352844009</v>
      </c>
      <c r="L47" s="203">
        <v>2085674.2725096687</v>
      </c>
      <c r="M47" s="204">
        <v>583.68462362368382</v>
      </c>
      <c r="N47" s="204">
        <v>11225.820761774263</v>
      </c>
      <c r="O47" s="196">
        <v>375.6014309029465</v>
      </c>
      <c r="P47" s="6">
        <f t="shared" si="1"/>
        <v>123.85352914310199</v>
      </c>
      <c r="Q47" s="12">
        <f t="shared" si="2"/>
        <v>17.173737764593685</v>
      </c>
      <c r="R47" s="96">
        <f t="shared" ref="R47:R110" si="8">P47*(10^9)*J47*(10^-12)</f>
        <v>129159.05952645534</v>
      </c>
      <c r="S47" s="202">
        <f t="shared" ref="S47:S110" si="9">Q47*(10^9)*L47*(10^-12)</f>
        <v>35818.823018440758</v>
      </c>
      <c r="T47" s="12">
        <f t="shared" si="3"/>
        <v>121.108</v>
      </c>
      <c r="U47" s="12">
        <f t="shared" si="4"/>
        <v>121.108</v>
      </c>
      <c r="V47" s="6">
        <f t="shared" ref="V47:V110" si="10">IF(E47&lt;$M$7,$AD$6*E47+$AE$6,IF(E47&lt;$M$8,$AD$7*E47+$AE$7,IF(E47&lt;$M$9,$AD$8*E47+$AE$8,"")))</f>
        <v>118</v>
      </c>
      <c r="W47" s="6">
        <f t="shared" ref="W47:W110" si="11">IF(V47="","",V47*$D$20)</f>
        <v>118</v>
      </c>
      <c r="X47" s="6" t="str">
        <f t="shared" ref="X47:X110" si="12">IF(Z47="","",Z47+2*$D$27*$C$8)</f>
        <v/>
      </c>
      <c r="Y47" s="6" t="str">
        <f t="shared" ref="Y47:Y110" si="13">IF(AA47="","",AA47+2*$D$27*$D$8)</f>
        <v/>
      </c>
      <c r="Z47" s="6" t="str">
        <f t="shared" ref="Z47:Z110" si="14">IF(E47&lt;$M$8,"",IF(E47&lt;$M$9,$AF$8*E47+$AG$8,IF(E47&lt;$M$10,$AF$9*E47+$AG$9,IF(E47&lt;$M$11,$AF$10*E47+$AG$10,""))))</f>
        <v/>
      </c>
      <c r="AA47" s="6" t="str">
        <f t="shared" ref="AA47:AA53" si="15">IF(Z47="","",Z47*$D$21)</f>
        <v/>
      </c>
      <c r="AB47" s="6" t="str">
        <f t="shared" ref="AB47:AB110" si="16">IF(AD47="","",AD47+2*$D$27*$C$9)</f>
        <v/>
      </c>
      <c r="AC47" s="6" t="str">
        <f t="shared" ref="AC47:AC110" si="17">IF(AE47="","",AE47+2*$D$27*$D$9)</f>
        <v/>
      </c>
      <c r="AD47" s="6" t="str">
        <f t="shared" ref="AD47:AD110" si="18">IF(E47&lt;$M$10,"",IF(E47&lt;$M$11,$AH$10*E47+$AI$10,IF(E47&lt;$M$12,$AH$11*E47+$AI$11,IF(E47&lt;$M$13,$AH$12*E47+$AI$12,""))))</f>
        <v/>
      </c>
      <c r="AE47" s="12" t="str">
        <f t="shared" ref="AE47:AE76" si="19">IF(AD47="","",AD47*$D$22)</f>
        <v/>
      </c>
      <c r="AF47" s="6" t="str">
        <f t="shared" ref="AF47:AF110" si="20">IF(AH47="","",AH47+2*$D$27*$C$9)</f>
        <v/>
      </c>
      <c r="AG47" s="6" t="str">
        <f t="shared" ref="AG47:AG110" si="21">IF(AH47="","",AI47+2*$D$27*$D$9)</f>
        <v/>
      </c>
      <c r="AH47" s="12" t="str">
        <f t="shared" si="0"/>
        <v/>
      </c>
      <c r="AI47" s="6" t="str">
        <f t="shared" ref="AI47:AI110" si="22">IF(AH47="","",AH47*$D$23)</f>
        <v/>
      </c>
      <c r="AJ47" s="12">
        <f>'主翼(型紙出力)'!AE53/100</f>
        <v>1</v>
      </c>
      <c r="AK47" s="12">
        <f>'主翼(型紙出力)'!AG53/100</f>
        <v>0</v>
      </c>
      <c r="AL47" s="12">
        <f>'主翼(型紙出力)'!D53/1000</f>
        <v>1.1000000000000001</v>
      </c>
      <c r="AM47" s="12">
        <f t="shared" ref="AM47:AM110" si="23">AJ47*$D$34+AK47*$D$35</f>
        <v>14.593327618117016</v>
      </c>
      <c r="AN47" s="6">
        <f t="shared" ref="AN47:AN110" si="24">AL47*(AM47/100)*1000</f>
        <v>160.52660379928719</v>
      </c>
      <c r="AO47" s="6">
        <f t="shared" ref="AO47:AO110" si="25">AN47-F47*2</f>
        <v>39.418603799287183</v>
      </c>
      <c r="AP47" s="100">
        <f t="shared" ref="AP47:AP110" si="26">IF(E47&lt;$M$8,$J$6,IF(E47&lt;$M$9,($J$6+$J$8)/2,IF(E47&lt;$M$10,$J$8,IF(E47&lt;$M$11,($J$8+$J$9)/2,$J$9))))</f>
        <v>-955.86400000000003</v>
      </c>
      <c r="AQ47" s="218">
        <v>2125765.7707034163</v>
      </c>
      <c r="AR47" s="100">
        <f t="shared" ref="AR47:AR110" si="27">-AQ47*AVERAGE(F47,H47)/J47</f>
        <v>-121.85210535361637</v>
      </c>
      <c r="AS47" s="100">
        <f t="shared" ref="AS47:AS110" si="28">AR47*(F47-H47)</f>
        <v>-189.35817171952007</v>
      </c>
      <c r="AT47" s="6">
        <f t="shared" ref="AT47:AT110" si="29">AP47/AS47</f>
        <v>5.0479152355560286</v>
      </c>
      <c r="AU47" s="6">
        <f t="shared" ref="AU47:AU110" si="30">IF(T47="","",PI()*(T47*U47-V47*W47)/4)</f>
        <v>583.66681043870551</v>
      </c>
      <c r="AV47" s="6" t="str">
        <f t="shared" ref="AV47:AV110" si="31">IF(X47="","",PI()*(X47*Y47-Z47*AA47)/4)</f>
        <v/>
      </c>
      <c r="AW47" s="6" t="str">
        <f t="shared" ref="AW47:AW110" si="32">IF(AB47="","",PI()*(AB47*AC47-AD47*AE47)/4)</f>
        <v/>
      </c>
      <c r="AX47" s="12" t="str">
        <f t="shared" ref="AX47:AX110" si="33">IF(AF47="","",PI()*(AF47*AG47-AH47*AI47)/4)</f>
        <v/>
      </c>
      <c r="AY47" s="6">
        <f t="shared" ref="AY47:AY110" si="34">IF(E47&lt;$M$9,AVERAGE(AU47:AU48)*(10^-6)*(E48-E47),"")</f>
        <v>8.7550021565805796E-5</v>
      </c>
      <c r="AZ47" s="6" t="str">
        <f t="shared" ref="AZ47:AZ110" si="35">IF(AND(E47&lt;$M$11,E47&gt;$M$8),AVERAGE(AV48,AV47)*(10^-6)*(E48-E47),"")</f>
        <v/>
      </c>
      <c r="BA47" s="6" t="str">
        <f t="shared" ref="BA47:BA76" si="36">IF(AND(E47&lt;$M$13,E47&gt;$M$10),AVERAGE(AW47:AW48)*(10^-6)*(E48-E47),"")</f>
        <v/>
      </c>
      <c r="BB47" s="12" t="str">
        <f t="shared" ref="BB47:BB110" si="37">IF(AND(E47&lt;$M$14,E47&gt;$M$12),AVERAGE(AX47:AX48)*(10^-6)*(E48-E47),"")</f>
        <v/>
      </c>
      <c r="BC47" s="6">
        <f t="shared" ref="BC47:BC110" si="38">IF(AY47="","",AY47*$AR$4*$AR$14)</f>
        <v>0.10085762484380827</v>
      </c>
      <c r="BD47" s="6" t="str">
        <f t="shared" ref="BD47:BD110" si="39">IF(AZ47="","",AZ47*$AR$4*$AR$17)</f>
        <v/>
      </c>
      <c r="BE47" s="6" t="str">
        <f t="shared" ref="BE47:BE110" si="40">IF(BA47="","",BA47*$AR$4*$AR$20)</f>
        <v/>
      </c>
      <c r="BF47" s="12" t="str">
        <f t="shared" ref="BF47:BF110" si="41">IF(BB47="","",BB47*$AR$4*$AR$23)</f>
        <v/>
      </c>
      <c r="BG47" s="12">
        <f t="shared" ref="BG47:BG110" si="42">SUM(BC47:BF47)</f>
        <v>0.10085762484380827</v>
      </c>
      <c r="BH47" s="23"/>
      <c r="BI47" s="23"/>
      <c r="BJ47" s="23"/>
    </row>
    <row r="48" spans="1:62">
      <c r="A48" s="22"/>
      <c r="B48" s="6"/>
      <c r="C48" s="100">
        <f>'主翼(型紙出力)'!B54</f>
        <v>3</v>
      </c>
      <c r="D48" s="227" t="str">
        <f t="shared" si="5"/>
        <v>0</v>
      </c>
      <c r="E48" s="12">
        <f>'主翼(型紙出力)'!C54</f>
        <v>0.44999999999999996</v>
      </c>
      <c r="F48" s="6">
        <f t="shared" si="6"/>
        <v>60.554000000000002</v>
      </c>
      <c r="G48" s="6">
        <f t="shared" si="6"/>
        <v>60.554000000000002</v>
      </c>
      <c r="H48" s="6">
        <f t="shared" si="7"/>
        <v>59</v>
      </c>
      <c r="I48" s="6">
        <f t="shared" si="7"/>
        <v>59</v>
      </c>
      <c r="J48" s="203">
        <v>1042837.1352843994</v>
      </c>
      <c r="K48" s="203">
        <v>1042837.1352844009</v>
      </c>
      <c r="L48" s="203">
        <v>2085674.2725096687</v>
      </c>
      <c r="M48" s="204">
        <v>583.68462362368382</v>
      </c>
      <c r="N48" s="204">
        <v>11225.820761774263</v>
      </c>
      <c r="O48" s="196">
        <v>375.6014309029465</v>
      </c>
      <c r="P48" s="6">
        <f t="shared" si="1"/>
        <v>123.85352914310199</v>
      </c>
      <c r="Q48" s="12">
        <f t="shared" si="2"/>
        <v>17.173737764593685</v>
      </c>
      <c r="R48" s="96">
        <f t="shared" si="8"/>
        <v>129159.05952645534</v>
      </c>
      <c r="S48" s="202">
        <f t="shared" si="9"/>
        <v>35818.823018440758</v>
      </c>
      <c r="T48" s="12">
        <f t="shared" si="3"/>
        <v>121.108</v>
      </c>
      <c r="U48" s="12">
        <f t="shared" si="4"/>
        <v>121.108</v>
      </c>
      <c r="V48" s="6">
        <f t="shared" si="10"/>
        <v>118</v>
      </c>
      <c r="W48" s="6">
        <f t="shared" si="11"/>
        <v>118</v>
      </c>
      <c r="X48" s="6" t="str">
        <f t="shared" si="12"/>
        <v/>
      </c>
      <c r="Y48" s="6" t="str">
        <f t="shared" si="13"/>
        <v/>
      </c>
      <c r="Z48" s="6" t="str">
        <f t="shared" si="14"/>
        <v/>
      </c>
      <c r="AA48" s="6" t="str">
        <f t="shared" si="15"/>
        <v/>
      </c>
      <c r="AB48" s="6" t="str">
        <f t="shared" si="16"/>
        <v/>
      </c>
      <c r="AC48" s="6" t="str">
        <f t="shared" si="17"/>
        <v/>
      </c>
      <c r="AD48" s="6" t="str">
        <f t="shared" si="18"/>
        <v/>
      </c>
      <c r="AE48" s="12" t="str">
        <f t="shared" si="19"/>
        <v/>
      </c>
      <c r="AF48" s="6" t="str">
        <f t="shared" si="20"/>
        <v/>
      </c>
      <c r="AG48" s="6" t="str">
        <f t="shared" si="21"/>
        <v/>
      </c>
      <c r="AH48" s="12" t="str">
        <f t="shared" si="0"/>
        <v/>
      </c>
      <c r="AI48" s="6" t="str">
        <f t="shared" si="22"/>
        <v/>
      </c>
      <c r="AJ48" s="12">
        <f>'主翼(型紙出力)'!AE54/100</f>
        <v>1</v>
      </c>
      <c r="AK48" s="12">
        <f>'主翼(型紙出力)'!AG54/100</f>
        <v>0</v>
      </c>
      <c r="AL48" s="12">
        <f>'主翼(型紙出力)'!D54/1000</f>
        <v>1.1000000000000001</v>
      </c>
      <c r="AM48" s="12">
        <f t="shared" si="23"/>
        <v>14.593327618117016</v>
      </c>
      <c r="AN48" s="6">
        <f t="shared" si="24"/>
        <v>160.52660379928719</v>
      </c>
      <c r="AO48" s="6">
        <f t="shared" si="25"/>
        <v>39.418603799287183</v>
      </c>
      <c r="AP48" s="100">
        <f t="shared" si="26"/>
        <v>-955.86400000000003</v>
      </c>
      <c r="AQ48" s="218">
        <v>2066030.766493161</v>
      </c>
      <c r="AR48" s="100">
        <f t="shared" si="27"/>
        <v>-118.42800467110412</v>
      </c>
      <c r="AS48" s="100">
        <f t="shared" si="28"/>
        <v>-184.03711925889604</v>
      </c>
      <c r="AT48" s="6">
        <f t="shared" si="29"/>
        <v>5.1938652585369418</v>
      </c>
      <c r="AU48" s="6">
        <f t="shared" si="30"/>
        <v>583.66681043870551</v>
      </c>
      <c r="AV48" s="6" t="str">
        <f t="shared" si="31"/>
        <v/>
      </c>
      <c r="AW48" s="6" t="str">
        <f t="shared" si="32"/>
        <v/>
      </c>
      <c r="AX48" s="12" t="str">
        <f t="shared" si="33"/>
        <v/>
      </c>
      <c r="AY48" s="6">
        <f t="shared" si="34"/>
        <v>8.7550021565805836E-5</v>
      </c>
      <c r="AZ48" s="6" t="str">
        <f t="shared" si="35"/>
        <v/>
      </c>
      <c r="BA48" s="6" t="str">
        <f t="shared" si="36"/>
        <v/>
      </c>
      <c r="BB48" s="12" t="str">
        <f t="shared" si="37"/>
        <v/>
      </c>
      <c r="BC48" s="6">
        <f t="shared" si="38"/>
        <v>0.10085762484380834</v>
      </c>
      <c r="BD48" s="6" t="str">
        <f t="shared" si="39"/>
        <v/>
      </c>
      <c r="BE48" s="6" t="str">
        <f t="shared" si="40"/>
        <v/>
      </c>
      <c r="BF48" s="12" t="str">
        <f t="shared" si="41"/>
        <v/>
      </c>
      <c r="BG48" s="12">
        <f t="shared" si="42"/>
        <v>0.10085762484380834</v>
      </c>
      <c r="BH48" s="23"/>
      <c r="BI48" s="23"/>
      <c r="BJ48" s="23"/>
    </row>
    <row r="49" spans="1:62">
      <c r="A49" s="22"/>
      <c r="B49" s="6"/>
      <c r="C49" s="158">
        <f>'主翼(型紙出力)'!B55</f>
        <v>4</v>
      </c>
      <c r="D49" s="227" t="str">
        <f t="shared" si="5"/>
        <v>0</v>
      </c>
      <c r="E49" s="12">
        <f>'主翼(型紙出力)'!C55</f>
        <v>0.6</v>
      </c>
      <c r="F49" s="6">
        <f t="shared" si="6"/>
        <v>60.554000000000002</v>
      </c>
      <c r="G49" s="6">
        <f t="shared" si="6"/>
        <v>60.554000000000002</v>
      </c>
      <c r="H49" s="6">
        <f t="shared" si="7"/>
        <v>59</v>
      </c>
      <c r="I49" s="6">
        <f t="shared" si="7"/>
        <v>59</v>
      </c>
      <c r="J49" s="203">
        <v>1042837.1352843994</v>
      </c>
      <c r="K49" s="203">
        <v>1042837.1352844009</v>
      </c>
      <c r="L49" s="203">
        <v>2085674.2725096687</v>
      </c>
      <c r="M49" s="204">
        <v>583.68462362368382</v>
      </c>
      <c r="N49" s="204">
        <v>11225.820761774263</v>
      </c>
      <c r="O49" s="196">
        <v>375.6014309029465</v>
      </c>
      <c r="P49" s="6">
        <f t="shared" si="1"/>
        <v>123.85352914310199</v>
      </c>
      <c r="Q49" s="12">
        <f t="shared" si="2"/>
        <v>17.173737764593685</v>
      </c>
      <c r="R49" s="96">
        <f t="shared" si="8"/>
        <v>129159.05952645534</v>
      </c>
      <c r="S49" s="202">
        <f t="shared" si="9"/>
        <v>35818.823018440758</v>
      </c>
      <c r="T49" s="12">
        <f t="shared" si="3"/>
        <v>121.108</v>
      </c>
      <c r="U49" s="12">
        <f t="shared" si="4"/>
        <v>121.108</v>
      </c>
      <c r="V49" s="6">
        <f t="shared" si="10"/>
        <v>118</v>
      </c>
      <c r="W49" s="6">
        <f t="shared" si="11"/>
        <v>118</v>
      </c>
      <c r="X49" s="6" t="str">
        <f t="shared" si="12"/>
        <v/>
      </c>
      <c r="Y49" s="6" t="str">
        <f t="shared" si="13"/>
        <v/>
      </c>
      <c r="Z49" s="6" t="str">
        <f t="shared" si="14"/>
        <v/>
      </c>
      <c r="AA49" s="6" t="str">
        <f t="shared" si="15"/>
        <v/>
      </c>
      <c r="AB49" s="6" t="str">
        <f t="shared" si="16"/>
        <v/>
      </c>
      <c r="AC49" s="6" t="str">
        <f t="shared" si="17"/>
        <v/>
      </c>
      <c r="AD49" s="6" t="str">
        <f t="shared" si="18"/>
        <v/>
      </c>
      <c r="AE49" s="12" t="str">
        <f t="shared" si="19"/>
        <v/>
      </c>
      <c r="AF49" s="6" t="str">
        <f t="shared" si="20"/>
        <v/>
      </c>
      <c r="AG49" s="6" t="str">
        <f t="shared" si="21"/>
        <v/>
      </c>
      <c r="AH49" s="12" t="str">
        <f t="shared" si="0"/>
        <v/>
      </c>
      <c r="AI49" s="6" t="str">
        <f t="shared" si="22"/>
        <v/>
      </c>
      <c r="AJ49" s="12">
        <f>'主翼(型紙出力)'!AE55/100</f>
        <v>1</v>
      </c>
      <c r="AK49" s="12">
        <f>'主翼(型紙出力)'!AG55/100</f>
        <v>0</v>
      </c>
      <c r="AL49" s="12">
        <f>'主翼(型紙出力)'!D55/1000</f>
        <v>1.1000000000000001</v>
      </c>
      <c r="AM49" s="12">
        <f t="shared" si="23"/>
        <v>14.593327618117016</v>
      </c>
      <c r="AN49" s="6">
        <f t="shared" si="24"/>
        <v>160.52660379928719</v>
      </c>
      <c r="AO49" s="6">
        <f t="shared" si="25"/>
        <v>39.418603799287183</v>
      </c>
      <c r="AP49" s="100">
        <f t="shared" si="26"/>
        <v>-955.86400000000003</v>
      </c>
      <c r="AQ49" s="218">
        <v>2007055.312217121</v>
      </c>
      <c r="AR49" s="100">
        <f t="shared" si="27"/>
        <v>-115.04744253826694</v>
      </c>
      <c r="AS49" s="100">
        <f t="shared" si="28"/>
        <v>-178.78372570446706</v>
      </c>
      <c r="AT49" s="6">
        <f t="shared" si="29"/>
        <v>5.3464821601271559</v>
      </c>
      <c r="AU49" s="6">
        <f t="shared" si="30"/>
        <v>583.66681043870551</v>
      </c>
      <c r="AV49" s="6" t="str">
        <f t="shared" si="31"/>
        <v/>
      </c>
      <c r="AW49" s="6" t="str">
        <f t="shared" si="32"/>
        <v/>
      </c>
      <c r="AX49" s="12" t="str">
        <f t="shared" si="33"/>
        <v/>
      </c>
      <c r="AY49" s="6">
        <f t="shared" si="34"/>
        <v>8.7550021565805836E-5</v>
      </c>
      <c r="AZ49" s="6" t="str">
        <f t="shared" si="35"/>
        <v/>
      </c>
      <c r="BA49" s="6" t="str">
        <f t="shared" si="36"/>
        <v/>
      </c>
      <c r="BB49" s="12" t="str">
        <f t="shared" si="37"/>
        <v/>
      </c>
      <c r="BC49" s="6">
        <f t="shared" si="38"/>
        <v>0.10085762484380834</v>
      </c>
      <c r="BD49" s="6" t="str">
        <f t="shared" si="39"/>
        <v/>
      </c>
      <c r="BE49" s="6" t="str">
        <f t="shared" si="40"/>
        <v/>
      </c>
      <c r="BF49" s="12" t="str">
        <f t="shared" si="41"/>
        <v/>
      </c>
      <c r="BG49" s="12">
        <f t="shared" si="42"/>
        <v>0.10085762484380834</v>
      </c>
      <c r="BH49" s="23"/>
      <c r="BI49" s="23"/>
      <c r="BJ49" s="23"/>
    </row>
    <row r="50" spans="1:62">
      <c r="A50" s="22"/>
      <c r="B50" s="6"/>
      <c r="C50" s="100">
        <f>'主翼(型紙出力)'!B56</f>
        <v>5</v>
      </c>
      <c r="D50" s="227" t="str">
        <f t="shared" si="5"/>
        <v>0</v>
      </c>
      <c r="E50" s="12">
        <f>'主翼(型紙出力)'!C56</f>
        <v>0.75</v>
      </c>
      <c r="F50" s="6">
        <f t="shared" si="6"/>
        <v>60.554000000000002</v>
      </c>
      <c r="G50" s="6">
        <f t="shared" si="6"/>
        <v>60.554000000000002</v>
      </c>
      <c r="H50" s="6">
        <f t="shared" si="7"/>
        <v>59</v>
      </c>
      <c r="I50" s="6">
        <f t="shared" si="7"/>
        <v>59</v>
      </c>
      <c r="J50" s="203">
        <v>1042837.1352843994</v>
      </c>
      <c r="K50" s="203">
        <v>1042837.1352844009</v>
      </c>
      <c r="L50" s="203">
        <v>2085674.2725096687</v>
      </c>
      <c r="M50" s="204">
        <v>583.68462362368382</v>
      </c>
      <c r="N50" s="204">
        <v>11225.820761774263</v>
      </c>
      <c r="O50" s="196">
        <v>375.6014309029465</v>
      </c>
      <c r="P50" s="6">
        <f t="shared" si="1"/>
        <v>123.85352914310199</v>
      </c>
      <c r="Q50" s="12">
        <f t="shared" si="2"/>
        <v>17.173737764593685</v>
      </c>
      <c r="R50" s="96">
        <f t="shared" si="8"/>
        <v>129159.05952645534</v>
      </c>
      <c r="S50" s="202">
        <f t="shared" si="9"/>
        <v>35818.823018440758</v>
      </c>
      <c r="T50" s="12">
        <f t="shared" si="3"/>
        <v>121.108</v>
      </c>
      <c r="U50" s="12">
        <f t="shared" si="4"/>
        <v>121.108</v>
      </c>
      <c r="V50" s="6">
        <f t="shared" si="10"/>
        <v>118</v>
      </c>
      <c r="W50" s="6">
        <f t="shared" si="11"/>
        <v>118</v>
      </c>
      <c r="X50" s="6" t="str">
        <f t="shared" si="12"/>
        <v/>
      </c>
      <c r="Y50" s="6" t="str">
        <f t="shared" si="13"/>
        <v/>
      </c>
      <c r="Z50" s="6" t="str">
        <f t="shared" si="14"/>
        <v/>
      </c>
      <c r="AA50" s="6" t="str">
        <f t="shared" si="15"/>
        <v/>
      </c>
      <c r="AB50" s="6" t="str">
        <f t="shared" si="16"/>
        <v/>
      </c>
      <c r="AC50" s="6" t="str">
        <f t="shared" si="17"/>
        <v/>
      </c>
      <c r="AD50" s="6" t="str">
        <f t="shared" si="18"/>
        <v/>
      </c>
      <c r="AE50" s="12" t="str">
        <f t="shared" si="19"/>
        <v/>
      </c>
      <c r="AF50" s="6" t="str">
        <f t="shared" si="20"/>
        <v/>
      </c>
      <c r="AG50" s="6" t="str">
        <f t="shared" si="21"/>
        <v/>
      </c>
      <c r="AH50" s="12" t="str">
        <f t="shared" si="0"/>
        <v/>
      </c>
      <c r="AI50" s="6" t="str">
        <f t="shared" si="22"/>
        <v/>
      </c>
      <c r="AJ50" s="12">
        <f>'主翼(型紙出力)'!AE56/100</f>
        <v>1</v>
      </c>
      <c r="AK50" s="12">
        <f>'主翼(型紙出力)'!AG56/100</f>
        <v>0</v>
      </c>
      <c r="AL50" s="12">
        <f>'主翼(型紙出力)'!D56/1000</f>
        <v>1.1000000000000001</v>
      </c>
      <c r="AM50" s="12">
        <f t="shared" si="23"/>
        <v>14.593327618117016</v>
      </c>
      <c r="AN50" s="6">
        <f t="shared" si="24"/>
        <v>160.52660379928719</v>
      </c>
      <c r="AO50" s="6">
        <f t="shared" si="25"/>
        <v>39.418603799287183</v>
      </c>
      <c r="AP50" s="100">
        <f t="shared" si="26"/>
        <v>-955.86400000000003</v>
      </c>
      <c r="AQ50" s="218">
        <v>1948839.4114056793</v>
      </c>
      <c r="AR50" s="100">
        <f t="shared" si="27"/>
        <v>-111.7104191574717</v>
      </c>
      <c r="AS50" s="100">
        <f t="shared" si="28"/>
        <v>-173.59799137071127</v>
      </c>
      <c r="AT50" s="6">
        <f t="shared" si="29"/>
        <v>5.5061927413595031</v>
      </c>
      <c r="AU50" s="6">
        <f t="shared" si="30"/>
        <v>583.66681043870551</v>
      </c>
      <c r="AV50" s="6" t="str">
        <f t="shared" si="31"/>
        <v/>
      </c>
      <c r="AW50" s="6" t="str">
        <f t="shared" si="32"/>
        <v/>
      </c>
      <c r="AX50" s="12" t="str">
        <f t="shared" si="33"/>
        <v/>
      </c>
      <c r="AY50" s="6">
        <f t="shared" si="34"/>
        <v>8.7550021565805836E-5</v>
      </c>
      <c r="AZ50" s="6" t="str">
        <f t="shared" si="35"/>
        <v/>
      </c>
      <c r="BA50" s="6" t="str">
        <f t="shared" si="36"/>
        <v/>
      </c>
      <c r="BB50" s="12" t="str">
        <f t="shared" si="37"/>
        <v/>
      </c>
      <c r="BC50" s="6">
        <f t="shared" si="38"/>
        <v>0.10085762484380834</v>
      </c>
      <c r="BD50" s="6" t="str">
        <f t="shared" si="39"/>
        <v/>
      </c>
      <c r="BE50" s="6" t="str">
        <f t="shared" si="40"/>
        <v/>
      </c>
      <c r="BF50" s="12" t="str">
        <f t="shared" si="41"/>
        <v/>
      </c>
      <c r="BG50" s="12">
        <f t="shared" si="42"/>
        <v>0.10085762484380834</v>
      </c>
      <c r="BH50" s="23"/>
      <c r="BI50" s="23"/>
      <c r="BJ50" s="23"/>
    </row>
    <row r="51" spans="1:62">
      <c r="A51" s="22"/>
      <c r="B51" s="6"/>
      <c r="C51" s="158">
        <f>'主翼(型紙出力)'!B57</f>
        <v>6</v>
      </c>
      <c r="D51" s="227" t="str">
        <f t="shared" si="5"/>
        <v>0</v>
      </c>
      <c r="E51" s="12">
        <f>'主翼(型紙出力)'!C57</f>
        <v>0.9</v>
      </c>
      <c r="F51" s="6">
        <f t="shared" si="6"/>
        <v>60.554000000000002</v>
      </c>
      <c r="G51" s="6">
        <f t="shared" si="6"/>
        <v>60.554000000000002</v>
      </c>
      <c r="H51" s="6">
        <f t="shared" si="7"/>
        <v>59</v>
      </c>
      <c r="I51" s="6">
        <f t="shared" si="7"/>
        <v>59</v>
      </c>
      <c r="J51" s="203">
        <v>1042837.1352843994</v>
      </c>
      <c r="K51" s="203">
        <v>1042837.1352844009</v>
      </c>
      <c r="L51" s="203">
        <v>2085674.2725096687</v>
      </c>
      <c r="M51" s="204">
        <v>583.68462362368382</v>
      </c>
      <c r="N51" s="204">
        <v>11225.820761774263</v>
      </c>
      <c r="O51" s="196">
        <v>375.6014309029465</v>
      </c>
      <c r="P51" s="6">
        <f t="shared" si="1"/>
        <v>123.85352914310199</v>
      </c>
      <c r="Q51" s="12">
        <f t="shared" si="2"/>
        <v>17.173737764593685</v>
      </c>
      <c r="R51" s="96">
        <f t="shared" si="8"/>
        <v>129159.05952645534</v>
      </c>
      <c r="S51" s="202">
        <f t="shared" si="9"/>
        <v>35818.823018440758</v>
      </c>
      <c r="T51" s="12">
        <f t="shared" si="3"/>
        <v>121.108</v>
      </c>
      <c r="U51" s="12">
        <f t="shared" si="4"/>
        <v>121.108</v>
      </c>
      <c r="V51" s="6">
        <f t="shared" si="10"/>
        <v>118</v>
      </c>
      <c r="W51" s="6">
        <f t="shared" si="11"/>
        <v>118</v>
      </c>
      <c r="X51" s="6" t="str">
        <f t="shared" si="12"/>
        <v/>
      </c>
      <c r="Y51" s="6" t="str">
        <f t="shared" si="13"/>
        <v/>
      </c>
      <c r="Z51" s="6" t="str">
        <f t="shared" si="14"/>
        <v/>
      </c>
      <c r="AA51" s="6" t="str">
        <f t="shared" si="15"/>
        <v/>
      </c>
      <c r="AB51" s="6" t="str">
        <f t="shared" si="16"/>
        <v/>
      </c>
      <c r="AC51" s="6" t="str">
        <f t="shared" si="17"/>
        <v/>
      </c>
      <c r="AD51" s="6" t="str">
        <f t="shared" si="18"/>
        <v/>
      </c>
      <c r="AE51" s="12" t="str">
        <f t="shared" si="19"/>
        <v/>
      </c>
      <c r="AF51" s="6" t="str">
        <f t="shared" si="20"/>
        <v/>
      </c>
      <c r="AG51" s="6" t="str">
        <f t="shared" si="21"/>
        <v/>
      </c>
      <c r="AH51" s="12" t="str">
        <f t="shared" si="0"/>
        <v/>
      </c>
      <c r="AI51" s="6" t="str">
        <f t="shared" si="22"/>
        <v/>
      </c>
      <c r="AJ51" s="12">
        <f>'主翼(型紙出力)'!AE57/100</f>
        <v>1</v>
      </c>
      <c r="AK51" s="12">
        <f>'主翼(型紙出力)'!AG57/100</f>
        <v>0</v>
      </c>
      <c r="AL51" s="12">
        <f>'主翼(型紙出力)'!D57/1000</f>
        <v>1.1000000000000001</v>
      </c>
      <c r="AM51" s="12">
        <f t="shared" si="23"/>
        <v>14.593327618117016</v>
      </c>
      <c r="AN51" s="6">
        <f t="shared" si="24"/>
        <v>160.52660379928719</v>
      </c>
      <c r="AO51" s="6">
        <f t="shared" si="25"/>
        <v>39.418603799287183</v>
      </c>
      <c r="AP51" s="100">
        <f t="shared" si="26"/>
        <v>-955.86400000000003</v>
      </c>
      <c r="AQ51" s="218">
        <v>1891382.8130906753</v>
      </c>
      <c r="AR51" s="100">
        <f t="shared" si="27"/>
        <v>-108.41692014284435</v>
      </c>
      <c r="AS51" s="100">
        <f t="shared" si="28"/>
        <v>-168.47989390198035</v>
      </c>
      <c r="AT51" s="6">
        <f t="shared" si="29"/>
        <v>5.6734603629090046</v>
      </c>
      <c r="AU51" s="6">
        <f t="shared" si="30"/>
        <v>583.66681043870551</v>
      </c>
      <c r="AV51" s="6" t="str">
        <f t="shared" si="31"/>
        <v/>
      </c>
      <c r="AW51" s="6" t="str">
        <f t="shared" si="32"/>
        <v/>
      </c>
      <c r="AX51" s="12" t="str">
        <f t="shared" si="33"/>
        <v/>
      </c>
      <c r="AY51" s="6">
        <f t="shared" si="34"/>
        <v>8.7550021565805836E-5</v>
      </c>
      <c r="AZ51" s="6" t="str">
        <f t="shared" si="35"/>
        <v/>
      </c>
      <c r="BA51" s="6" t="str">
        <f t="shared" si="36"/>
        <v/>
      </c>
      <c r="BB51" s="12" t="str">
        <f t="shared" si="37"/>
        <v/>
      </c>
      <c r="BC51" s="6">
        <f t="shared" si="38"/>
        <v>0.10085762484380834</v>
      </c>
      <c r="BD51" s="6" t="str">
        <f t="shared" si="39"/>
        <v/>
      </c>
      <c r="BE51" s="6" t="str">
        <f t="shared" si="40"/>
        <v/>
      </c>
      <c r="BF51" s="12" t="str">
        <f t="shared" si="41"/>
        <v/>
      </c>
      <c r="BG51" s="12">
        <f t="shared" si="42"/>
        <v>0.10085762484380834</v>
      </c>
      <c r="BH51" s="23"/>
      <c r="BI51" s="23"/>
      <c r="BJ51" s="23"/>
    </row>
    <row r="52" spans="1:62">
      <c r="A52" s="22"/>
      <c r="B52" s="6"/>
      <c r="C52" s="100">
        <f>'主翼(型紙出力)'!B58</f>
        <v>7</v>
      </c>
      <c r="D52" s="227" t="str">
        <f t="shared" si="5"/>
        <v>0</v>
      </c>
      <c r="E52" s="12">
        <f>'主翼(型紙出力)'!C58</f>
        <v>1.05</v>
      </c>
      <c r="F52" s="6">
        <f t="shared" si="6"/>
        <v>60.554000000000002</v>
      </c>
      <c r="G52" s="6">
        <f t="shared" si="6"/>
        <v>60.554000000000002</v>
      </c>
      <c r="H52" s="6">
        <f t="shared" si="7"/>
        <v>59</v>
      </c>
      <c r="I52" s="6">
        <f t="shared" si="7"/>
        <v>59</v>
      </c>
      <c r="J52" s="203">
        <v>1042837.1352843994</v>
      </c>
      <c r="K52" s="203">
        <v>1042837.1352844009</v>
      </c>
      <c r="L52" s="203">
        <v>2085674.2725096687</v>
      </c>
      <c r="M52" s="204">
        <v>583.68462362368382</v>
      </c>
      <c r="N52" s="204">
        <v>11225.820761774263</v>
      </c>
      <c r="O52" s="196">
        <v>375.6014309029465</v>
      </c>
      <c r="P52" s="6">
        <f t="shared" si="1"/>
        <v>123.85352914310199</v>
      </c>
      <c r="Q52" s="12">
        <f t="shared" si="2"/>
        <v>17.173737764593685</v>
      </c>
      <c r="R52" s="96">
        <f t="shared" si="8"/>
        <v>129159.05952645534</v>
      </c>
      <c r="S52" s="202">
        <f t="shared" si="9"/>
        <v>35818.823018440758</v>
      </c>
      <c r="T52" s="12">
        <f t="shared" si="3"/>
        <v>121.108</v>
      </c>
      <c r="U52" s="12">
        <f t="shared" si="4"/>
        <v>121.108</v>
      </c>
      <c r="V52" s="6">
        <f t="shared" si="10"/>
        <v>118</v>
      </c>
      <c r="W52" s="6">
        <f t="shared" si="11"/>
        <v>118</v>
      </c>
      <c r="X52" s="6" t="str">
        <f t="shared" si="12"/>
        <v/>
      </c>
      <c r="Y52" s="6" t="str">
        <f t="shared" si="13"/>
        <v/>
      </c>
      <c r="Z52" s="6" t="str">
        <f t="shared" si="14"/>
        <v/>
      </c>
      <c r="AA52" s="6" t="str">
        <f t="shared" si="15"/>
        <v/>
      </c>
      <c r="AB52" s="6" t="str">
        <f t="shared" si="16"/>
        <v/>
      </c>
      <c r="AC52" s="6" t="str">
        <f t="shared" si="17"/>
        <v/>
      </c>
      <c r="AD52" s="6" t="str">
        <f t="shared" si="18"/>
        <v/>
      </c>
      <c r="AE52" s="12" t="str">
        <f t="shared" si="19"/>
        <v/>
      </c>
      <c r="AF52" s="6" t="str">
        <f t="shared" si="20"/>
        <v/>
      </c>
      <c r="AG52" s="6" t="str">
        <f t="shared" si="21"/>
        <v/>
      </c>
      <c r="AH52" s="12" t="str">
        <f t="shared" si="0"/>
        <v/>
      </c>
      <c r="AI52" s="6" t="str">
        <f t="shared" si="22"/>
        <v/>
      </c>
      <c r="AJ52" s="12">
        <f>'主翼(型紙出力)'!AE58/100</f>
        <v>1</v>
      </c>
      <c r="AK52" s="12">
        <f>'主翼(型紙出力)'!AG58/100</f>
        <v>0</v>
      </c>
      <c r="AL52" s="12">
        <f>'主翼(型紙出力)'!D58/1000</f>
        <v>1.1000000000000001</v>
      </c>
      <c r="AM52" s="12">
        <f t="shared" si="23"/>
        <v>14.593327618117016</v>
      </c>
      <c r="AN52" s="6">
        <f t="shared" si="24"/>
        <v>160.52660379928719</v>
      </c>
      <c r="AO52" s="6">
        <f t="shared" si="25"/>
        <v>39.418603799287183</v>
      </c>
      <c r="AP52" s="100">
        <f t="shared" si="26"/>
        <v>-955.86400000000003</v>
      </c>
      <c r="AQ52" s="218">
        <v>1834685.0429383379</v>
      </c>
      <c r="AR52" s="100">
        <f t="shared" si="27"/>
        <v>-105.16691830485651</v>
      </c>
      <c r="AS52" s="100">
        <f t="shared" si="28"/>
        <v>-163.42939104574722</v>
      </c>
      <c r="AT52" s="6">
        <f t="shared" si="29"/>
        <v>5.8487888493229114</v>
      </c>
      <c r="AU52" s="6">
        <f t="shared" si="30"/>
        <v>583.66681043870551</v>
      </c>
      <c r="AV52" s="6" t="str">
        <f t="shared" si="31"/>
        <v/>
      </c>
      <c r="AW52" s="6" t="str">
        <f t="shared" si="32"/>
        <v/>
      </c>
      <c r="AX52" s="12" t="str">
        <f t="shared" si="33"/>
        <v/>
      </c>
      <c r="AY52" s="6">
        <f t="shared" si="34"/>
        <v>8.7550021565805769E-5</v>
      </c>
      <c r="AZ52" s="6" t="str">
        <f t="shared" si="35"/>
        <v/>
      </c>
      <c r="BA52" s="6" t="str">
        <f t="shared" si="36"/>
        <v/>
      </c>
      <c r="BB52" s="12" t="str">
        <f t="shared" si="37"/>
        <v/>
      </c>
      <c r="BC52" s="6">
        <f t="shared" si="38"/>
        <v>0.10085762484380825</v>
      </c>
      <c r="BD52" s="6" t="str">
        <f t="shared" si="39"/>
        <v/>
      </c>
      <c r="BE52" s="6" t="str">
        <f t="shared" si="40"/>
        <v/>
      </c>
      <c r="BF52" s="12" t="str">
        <f t="shared" si="41"/>
        <v/>
      </c>
      <c r="BG52" s="12">
        <f t="shared" si="42"/>
        <v>0.10085762484380825</v>
      </c>
      <c r="BH52" s="23"/>
      <c r="BI52" s="23"/>
      <c r="BJ52" s="23"/>
    </row>
    <row r="53" spans="1:62">
      <c r="A53" s="22"/>
      <c r="B53" s="6"/>
      <c r="C53" s="158">
        <f>'主翼(型紙出力)'!B59</f>
        <v>8</v>
      </c>
      <c r="D53" s="227" t="str">
        <f t="shared" si="5"/>
        <v>0</v>
      </c>
      <c r="E53" s="12">
        <f>'主翼(型紙出力)'!C59</f>
        <v>1.2</v>
      </c>
      <c r="F53" s="6">
        <f t="shared" si="6"/>
        <v>60.554000000000002</v>
      </c>
      <c r="G53" s="6">
        <f t="shared" si="6"/>
        <v>60.554000000000002</v>
      </c>
      <c r="H53" s="6">
        <f t="shared" si="7"/>
        <v>59</v>
      </c>
      <c r="I53" s="6">
        <f t="shared" si="7"/>
        <v>59</v>
      </c>
      <c r="J53" s="203">
        <v>1042837.1352843994</v>
      </c>
      <c r="K53" s="203">
        <v>1042837.1352844009</v>
      </c>
      <c r="L53" s="203">
        <v>2085674.2725096687</v>
      </c>
      <c r="M53" s="204">
        <v>583.68462362368382</v>
      </c>
      <c r="N53" s="204">
        <v>11225.820761774263</v>
      </c>
      <c r="O53" s="196">
        <v>375.6014309029465</v>
      </c>
      <c r="P53" s="6">
        <f t="shared" si="1"/>
        <v>123.85352914310199</v>
      </c>
      <c r="Q53" s="12">
        <f t="shared" si="2"/>
        <v>17.173737764593685</v>
      </c>
      <c r="R53" s="96">
        <f t="shared" si="8"/>
        <v>129159.05952645534</v>
      </c>
      <c r="S53" s="202">
        <f t="shared" si="9"/>
        <v>35818.823018440758</v>
      </c>
      <c r="T53" s="12">
        <f t="shared" si="3"/>
        <v>121.108</v>
      </c>
      <c r="U53" s="12">
        <f t="shared" si="4"/>
        <v>121.108</v>
      </c>
      <c r="V53" s="6">
        <f t="shared" si="10"/>
        <v>118</v>
      </c>
      <c r="W53" s="6">
        <f t="shared" si="11"/>
        <v>118</v>
      </c>
      <c r="X53" s="6" t="str">
        <f t="shared" si="12"/>
        <v/>
      </c>
      <c r="Y53" s="6" t="str">
        <f t="shared" si="13"/>
        <v/>
      </c>
      <c r="Z53" s="6" t="str">
        <f t="shared" si="14"/>
        <v/>
      </c>
      <c r="AA53" s="6" t="str">
        <f t="shared" si="15"/>
        <v/>
      </c>
      <c r="AB53" s="6" t="str">
        <f t="shared" si="16"/>
        <v/>
      </c>
      <c r="AC53" s="6" t="str">
        <f t="shared" si="17"/>
        <v/>
      </c>
      <c r="AD53" s="6" t="str">
        <f t="shared" si="18"/>
        <v/>
      </c>
      <c r="AE53" s="12" t="str">
        <f t="shared" si="19"/>
        <v/>
      </c>
      <c r="AF53" s="6" t="str">
        <f t="shared" si="20"/>
        <v/>
      </c>
      <c r="AG53" s="6" t="str">
        <f t="shared" si="21"/>
        <v/>
      </c>
      <c r="AH53" s="12" t="str">
        <f t="shared" si="0"/>
        <v/>
      </c>
      <c r="AI53" s="6" t="str">
        <f t="shared" si="22"/>
        <v/>
      </c>
      <c r="AJ53" s="12">
        <f>'主翼(型紙出力)'!AE59/100</f>
        <v>1</v>
      </c>
      <c r="AK53" s="12">
        <f>'主翼(型紙出力)'!AG59/100</f>
        <v>0</v>
      </c>
      <c r="AL53" s="12">
        <f>'主翼(型紙出力)'!D59/1000</f>
        <v>1.1000000000000001</v>
      </c>
      <c r="AM53" s="12">
        <f t="shared" si="23"/>
        <v>14.593327618117016</v>
      </c>
      <c r="AN53" s="6">
        <f t="shared" si="24"/>
        <v>160.52660379928719</v>
      </c>
      <c r="AO53" s="6">
        <f t="shared" si="25"/>
        <v>39.418603799287183</v>
      </c>
      <c r="AP53" s="100">
        <f t="shared" si="26"/>
        <v>-955.86400000000003</v>
      </c>
      <c r="AQ53" s="218">
        <v>1778708.5773292508</v>
      </c>
      <c r="AR53" s="100">
        <f t="shared" si="27"/>
        <v>-101.95826273295663</v>
      </c>
      <c r="AS53" s="100">
        <f t="shared" si="28"/>
        <v>-158.44314028701481</v>
      </c>
      <c r="AT53" s="6">
        <f t="shared" si="29"/>
        <v>6.0328519004892369</v>
      </c>
      <c r="AU53" s="6">
        <f t="shared" si="30"/>
        <v>583.66681043870551</v>
      </c>
      <c r="AV53" s="6" t="str">
        <f t="shared" si="31"/>
        <v/>
      </c>
      <c r="AW53" s="6" t="str">
        <f t="shared" si="32"/>
        <v/>
      </c>
      <c r="AX53" s="12" t="str">
        <f t="shared" si="33"/>
        <v/>
      </c>
      <c r="AY53" s="6">
        <f t="shared" si="34"/>
        <v>8.7550021565805769E-5</v>
      </c>
      <c r="AZ53" s="6" t="str">
        <f t="shared" si="35"/>
        <v/>
      </c>
      <c r="BA53" s="6" t="str">
        <f t="shared" si="36"/>
        <v/>
      </c>
      <c r="BB53" s="12" t="str">
        <f t="shared" si="37"/>
        <v/>
      </c>
      <c r="BC53" s="6">
        <f t="shared" si="38"/>
        <v>0.10085762484380825</v>
      </c>
      <c r="BD53" s="6" t="str">
        <f t="shared" si="39"/>
        <v/>
      </c>
      <c r="BE53" s="6" t="str">
        <f t="shared" si="40"/>
        <v/>
      </c>
      <c r="BF53" s="12" t="str">
        <f t="shared" si="41"/>
        <v/>
      </c>
      <c r="BG53" s="12">
        <f t="shared" si="42"/>
        <v>0.10085762484380825</v>
      </c>
      <c r="BH53" s="23"/>
      <c r="BI53" s="23"/>
      <c r="BJ53" s="23"/>
    </row>
    <row r="54" spans="1:62">
      <c r="A54" s="22"/>
      <c r="B54" s="6"/>
      <c r="C54" s="100">
        <f>'主翼(型紙出力)'!B60</f>
        <v>9</v>
      </c>
      <c r="D54" s="227" t="str">
        <f t="shared" si="5"/>
        <v>0-1接合</v>
      </c>
      <c r="E54" s="12">
        <f>'主翼(型紙出力)'!C60</f>
        <v>1.3499999999999999</v>
      </c>
      <c r="F54" s="6">
        <f t="shared" si="6"/>
        <v>69.904540000000011</v>
      </c>
      <c r="G54" s="6">
        <f t="shared" si="6"/>
        <v>65.832999999999998</v>
      </c>
      <c r="H54" s="6">
        <f t="shared" si="7"/>
        <v>59</v>
      </c>
      <c r="I54" s="6">
        <f t="shared" si="7"/>
        <v>59</v>
      </c>
      <c r="J54" s="203">
        <v>9890952.6523612533</v>
      </c>
      <c r="K54" s="203">
        <v>11877128.35441743</v>
      </c>
      <c r="L54" s="203">
        <v>21553847.981406782</v>
      </c>
      <c r="M54" s="204">
        <v>5108.1139701514758</v>
      </c>
      <c r="N54" s="204">
        <v>13362.667800622545</v>
      </c>
      <c r="O54" s="196">
        <v>409.85047979491901</v>
      </c>
      <c r="P54" s="6">
        <f t="shared" si="1"/>
        <v>107.24049489298025</v>
      </c>
      <c r="Q54" s="12">
        <f t="shared" si="2"/>
        <v>15.794346071164384</v>
      </c>
      <c r="R54" s="96">
        <f t="shared" si="8"/>
        <v>1060710.6574022565</v>
      </c>
      <c r="S54" s="202">
        <f t="shared" si="9"/>
        <v>340428.93418360659</v>
      </c>
      <c r="T54" s="12">
        <f t="shared" si="3"/>
        <v>121.108</v>
      </c>
      <c r="U54" s="12">
        <f t="shared" si="4"/>
        <v>121.108</v>
      </c>
      <c r="V54" s="6">
        <f t="shared" si="10"/>
        <v>118</v>
      </c>
      <c r="W54" s="6">
        <f t="shared" si="11"/>
        <v>118</v>
      </c>
      <c r="X54" s="6">
        <f t="shared" si="12"/>
        <v>139.80908000000002</v>
      </c>
      <c r="Y54" s="6">
        <f t="shared" si="13"/>
        <v>131.666</v>
      </c>
      <c r="Z54" s="6">
        <f t="shared" si="14"/>
        <v>135.98708000000002</v>
      </c>
      <c r="AA54" s="6">
        <f>IF(Z54="","",Z54/$D$21)</f>
        <v>129.02000000000001</v>
      </c>
      <c r="AB54" s="6" t="str">
        <f t="shared" si="16"/>
        <v/>
      </c>
      <c r="AC54" s="6" t="str">
        <f t="shared" si="17"/>
        <v/>
      </c>
      <c r="AD54" s="6" t="str">
        <f t="shared" si="18"/>
        <v/>
      </c>
      <c r="AE54" s="12" t="str">
        <f t="shared" si="19"/>
        <v/>
      </c>
      <c r="AF54" s="6" t="str">
        <f t="shared" si="20"/>
        <v/>
      </c>
      <c r="AG54" s="6" t="str">
        <f t="shared" si="21"/>
        <v/>
      </c>
      <c r="AH54" s="12" t="str">
        <f t="shared" si="0"/>
        <v/>
      </c>
      <c r="AI54" s="6" t="str">
        <f t="shared" si="22"/>
        <v/>
      </c>
      <c r="AJ54" s="12">
        <f>'主翼(型紙出力)'!AE60/100</f>
        <v>1</v>
      </c>
      <c r="AK54" s="12">
        <f>'主翼(型紙出力)'!AG60/100</f>
        <v>0</v>
      </c>
      <c r="AL54" s="12">
        <f>'主翼(型紙出力)'!D60/1000</f>
        <v>1.1000000000000001</v>
      </c>
      <c r="AM54" s="12">
        <f t="shared" si="23"/>
        <v>14.593327618117016</v>
      </c>
      <c r="AN54" s="6">
        <f t="shared" si="24"/>
        <v>160.52660379928719</v>
      </c>
      <c r="AO54" s="6">
        <f t="shared" si="25"/>
        <v>20.717523799287164</v>
      </c>
      <c r="AP54" s="100">
        <f t="shared" si="26"/>
        <v>-1342.5352500000004</v>
      </c>
      <c r="AQ54" s="218">
        <v>1723359.9591596941</v>
      </c>
      <c r="AR54" s="100">
        <f t="shared" si="27"/>
        <v>-11.229905277974709</v>
      </c>
      <c r="AS54" s="100">
        <f t="shared" si="28"/>
        <v>-122.45695129988646</v>
      </c>
      <c r="AT54" s="6">
        <f t="shared" si="29"/>
        <v>10.963324137575889</v>
      </c>
      <c r="AU54" s="6">
        <f t="shared" si="30"/>
        <v>583.66681043870551</v>
      </c>
      <c r="AV54" s="6">
        <f t="shared" si="31"/>
        <v>677.83730818658671</v>
      </c>
      <c r="AW54" s="6" t="str">
        <f t="shared" si="32"/>
        <v/>
      </c>
      <c r="AX54" s="12" t="str">
        <f t="shared" si="33"/>
        <v/>
      </c>
      <c r="AY54" s="6">
        <f t="shared" si="34"/>
        <v>1.0214169182677348E-4</v>
      </c>
      <c r="AZ54" s="6" t="str">
        <f t="shared" si="35"/>
        <v/>
      </c>
      <c r="BA54" s="6" t="str">
        <f t="shared" si="36"/>
        <v/>
      </c>
      <c r="BB54" s="12" t="str">
        <f t="shared" si="37"/>
        <v/>
      </c>
      <c r="BC54" s="6">
        <f t="shared" si="38"/>
        <v>0.11766722898444305</v>
      </c>
      <c r="BD54" s="6" t="str">
        <f t="shared" si="39"/>
        <v/>
      </c>
      <c r="BE54" s="6" t="str">
        <f t="shared" si="40"/>
        <v/>
      </c>
      <c r="BF54" s="12" t="str">
        <f t="shared" si="41"/>
        <v/>
      </c>
      <c r="BG54" s="12">
        <f t="shared" si="42"/>
        <v>0.11766722898444305</v>
      </c>
      <c r="BH54" s="23"/>
      <c r="BI54" s="23"/>
      <c r="BJ54" s="23"/>
    </row>
    <row r="55" spans="1:62">
      <c r="A55" s="22"/>
      <c r="B55" s="6"/>
      <c r="C55" s="158">
        <f>'主翼(型紙出力)'!B61</f>
        <v>10</v>
      </c>
      <c r="D55" s="227" t="str">
        <f t="shared" si="5"/>
        <v>0-1接合</v>
      </c>
      <c r="E55" s="12">
        <f>'主翼(型紙出力)'!C61</f>
        <v>1.5249999999999999</v>
      </c>
      <c r="F55" s="6">
        <f t="shared" si="6"/>
        <v>68.97767875000001</v>
      </c>
      <c r="G55" s="6">
        <f t="shared" si="6"/>
        <v>64.953625000000002</v>
      </c>
      <c r="H55" s="6">
        <f t="shared" si="7"/>
        <v>59</v>
      </c>
      <c r="I55" s="6">
        <f t="shared" si="7"/>
        <v>59</v>
      </c>
      <c r="J55" s="203">
        <v>8900518.8483415954</v>
      </c>
      <c r="K55" s="203">
        <v>10768972.730375931</v>
      </c>
      <c r="L55" s="203">
        <v>19454136.740124479</v>
      </c>
      <c r="M55" s="204">
        <v>4683.4078829601085</v>
      </c>
      <c r="N55" s="204">
        <v>13168.393565318553</v>
      </c>
      <c r="O55" s="196">
        <v>406.85923069408443</v>
      </c>
      <c r="P55" s="6">
        <f t="shared" si="1"/>
        <v>107.24049489298025</v>
      </c>
      <c r="Q55" s="12">
        <f t="shared" si="2"/>
        <v>15.794346071164384</v>
      </c>
      <c r="R55" s="96">
        <f t="shared" si="8"/>
        <v>954496.04610045126</v>
      </c>
      <c r="S55" s="202">
        <f t="shared" si="9"/>
        <v>307265.36818927975</v>
      </c>
      <c r="T55" s="12">
        <f t="shared" si="3"/>
        <v>121.108</v>
      </c>
      <c r="U55" s="12">
        <f t="shared" si="4"/>
        <v>121.108</v>
      </c>
      <c r="V55" s="6">
        <f t="shared" si="10"/>
        <v>118</v>
      </c>
      <c r="W55" s="6">
        <f t="shared" si="11"/>
        <v>118</v>
      </c>
      <c r="X55" s="6">
        <f t="shared" si="12"/>
        <v>137.95535750000002</v>
      </c>
      <c r="Y55" s="6">
        <f t="shared" si="13"/>
        <v>129.90725</v>
      </c>
      <c r="Z55" s="6">
        <f t="shared" si="14"/>
        <v>134.13335750000002</v>
      </c>
      <c r="AA55" s="6">
        <f t="shared" ref="AA55:AA118" si="43">IF(Z55="","",Z55/$D$21)</f>
        <v>127.26125</v>
      </c>
      <c r="AB55" s="6" t="str">
        <f t="shared" si="16"/>
        <v/>
      </c>
      <c r="AC55" s="6" t="str">
        <f t="shared" si="17"/>
        <v/>
      </c>
      <c r="AD55" s="6" t="str">
        <f t="shared" si="18"/>
        <v/>
      </c>
      <c r="AE55" s="12" t="str">
        <f t="shared" si="19"/>
        <v/>
      </c>
      <c r="AF55" s="6" t="str">
        <f t="shared" si="20"/>
        <v/>
      </c>
      <c r="AG55" s="6" t="str">
        <f t="shared" si="21"/>
        <v/>
      </c>
      <c r="AH55" s="12" t="str">
        <f t="shared" si="0"/>
        <v/>
      </c>
      <c r="AI55" s="6" t="str">
        <f t="shared" si="22"/>
        <v/>
      </c>
      <c r="AJ55" s="12">
        <f>'主翼(型紙出力)'!AE61/100</f>
        <v>1</v>
      </c>
      <c r="AK55" s="12">
        <f>'主翼(型紙出力)'!AG61/100</f>
        <v>0</v>
      </c>
      <c r="AL55" s="12">
        <f>'主翼(型紙出力)'!D61/1000</f>
        <v>1.1000000000000001</v>
      </c>
      <c r="AM55" s="12">
        <f t="shared" si="23"/>
        <v>14.593327618117016</v>
      </c>
      <c r="AN55" s="6">
        <f t="shared" si="24"/>
        <v>160.52660379928719</v>
      </c>
      <c r="AO55" s="6">
        <f t="shared" si="25"/>
        <v>22.571246299287168</v>
      </c>
      <c r="AP55" s="100">
        <f t="shared" si="26"/>
        <v>-1342.5352500000004</v>
      </c>
      <c r="AQ55" s="218">
        <v>1659681.8145029552</v>
      </c>
      <c r="AR55" s="100">
        <f t="shared" si="27"/>
        <v>-11.932013723180448</v>
      </c>
      <c r="AS55" s="100">
        <f t="shared" si="28"/>
        <v>-119.05379977048605</v>
      </c>
      <c r="AT55" s="6">
        <f t="shared" si="29"/>
        <v>11.276710634924402</v>
      </c>
      <c r="AU55" s="6">
        <f t="shared" si="30"/>
        <v>583.66681043870551</v>
      </c>
      <c r="AV55" s="6">
        <f t="shared" si="31"/>
        <v>668.70556837919844</v>
      </c>
      <c r="AW55" s="6" t="str">
        <f t="shared" si="32"/>
        <v/>
      </c>
      <c r="AX55" s="12" t="str">
        <f t="shared" si="33"/>
        <v/>
      </c>
      <c r="AY55" s="6">
        <f t="shared" si="34"/>
        <v>8.7550021565805769E-5</v>
      </c>
      <c r="AZ55" s="6">
        <f t="shared" si="35"/>
        <v>9.9718794840690536E-5</v>
      </c>
      <c r="BA55" s="6" t="str">
        <f t="shared" si="36"/>
        <v/>
      </c>
      <c r="BB55" s="12" t="str">
        <f t="shared" si="37"/>
        <v/>
      </c>
      <c r="BC55" s="6">
        <f t="shared" si="38"/>
        <v>0.10085762484380825</v>
      </c>
      <c r="BD55" s="6">
        <f t="shared" si="39"/>
        <v>0.18323328551976886</v>
      </c>
      <c r="BE55" s="6" t="str">
        <f t="shared" si="40"/>
        <v/>
      </c>
      <c r="BF55" s="12" t="str">
        <f t="shared" si="41"/>
        <v/>
      </c>
      <c r="BG55" s="12">
        <f t="shared" si="42"/>
        <v>0.28409091036357714</v>
      </c>
      <c r="BH55" s="23"/>
      <c r="BI55" s="23"/>
      <c r="BJ55" s="23"/>
    </row>
    <row r="56" spans="1:62">
      <c r="A56" s="22"/>
      <c r="B56" s="6"/>
      <c r="C56" s="100">
        <f>'主翼(型紙出力)'!B62</f>
        <v>11</v>
      </c>
      <c r="D56" s="227" t="str">
        <f t="shared" si="5"/>
        <v>0-1接合</v>
      </c>
      <c r="E56" s="12">
        <f>'主翼(型紙出力)'!C62</f>
        <v>1.6749999999999998</v>
      </c>
      <c r="F56" s="6">
        <f t="shared" si="6"/>
        <v>68.183226250000004</v>
      </c>
      <c r="G56" s="6">
        <f t="shared" si="6"/>
        <v>64.199874999999992</v>
      </c>
      <c r="H56" s="6">
        <f t="shared" si="7"/>
        <v>59</v>
      </c>
      <c r="I56" s="6">
        <f t="shared" si="7"/>
        <v>59</v>
      </c>
      <c r="J56" s="203">
        <v>8080825.073193904</v>
      </c>
      <c r="K56" s="203">
        <v>9852095.6545033008</v>
      </c>
      <c r="L56" s="203">
        <v>17715518.647477161</v>
      </c>
      <c r="M56" s="204">
        <v>4323.9084240529219</v>
      </c>
      <c r="N56" s="204">
        <v>13003.004823582192</v>
      </c>
      <c r="O56" s="196">
        <v>404.29530660958932</v>
      </c>
      <c r="P56" s="6">
        <f t="shared" si="1"/>
        <v>107.24049489298025</v>
      </c>
      <c r="Q56" s="12">
        <f t="shared" si="2"/>
        <v>15.794346071164384</v>
      </c>
      <c r="R56" s="96">
        <f t="shared" si="8"/>
        <v>866591.67999291758</v>
      </c>
      <c r="S56" s="202">
        <f t="shared" si="9"/>
        <v>279805.03234842024</v>
      </c>
      <c r="T56" s="12">
        <f t="shared" si="3"/>
        <v>121.108</v>
      </c>
      <c r="U56" s="12">
        <f t="shared" si="4"/>
        <v>121.108</v>
      </c>
      <c r="V56" s="6">
        <f t="shared" si="10"/>
        <v>118</v>
      </c>
      <c r="W56" s="6">
        <f t="shared" si="11"/>
        <v>118</v>
      </c>
      <c r="X56" s="6">
        <f t="shared" si="12"/>
        <v>136.36645250000001</v>
      </c>
      <c r="Y56" s="6">
        <f t="shared" si="13"/>
        <v>128.39974999999998</v>
      </c>
      <c r="Z56" s="6">
        <f t="shared" si="14"/>
        <v>132.54445250000001</v>
      </c>
      <c r="AA56" s="6">
        <f t="shared" si="43"/>
        <v>125.75375</v>
      </c>
      <c r="AB56" s="6" t="str">
        <f t="shared" si="16"/>
        <v/>
      </c>
      <c r="AC56" s="6" t="str">
        <f t="shared" si="17"/>
        <v/>
      </c>
      <c r="AD56" s="6" t="str">
        <f t="shared" si="18"/>
        <v/>
      </c>
      <c r="AE56" s="12" t="str">
        <f t="shared" si="19"/>
        <v/>
      </c>
      <c r="AF56" s="6" t="str">
        <f t="shared" si="20"/>
        <v/>
      </c>
      <c r="AG56" s="6" t="str">
        <f t="shared" si="21"/>
        <v/>
      </c>
      <c r="AH56" s="12" t="str">
        <f t="shared" si="0"/>
        <v/>
      </c>
      <c r="AI56" s="6" t="str">
        <f t="shared" si="22"/>
        <v/>
      </c>
      <c r="AJ56" s="12">
        <f>'主翼(型紙出力)'!AE62/100</f>
        <v>1</v>
      </c>
      <c r="AK56" s="12">
        <f>'主翼(型紙出力)'!AG62/100</f>
        <v>0</v>
      </c>
      <c r="AL56" s="12">
        <f>'主翼(型紙出力)'!D62/1000</f>
        <v>1.1000000000000001</v>
      </c>
      <c r="AM56" s="12">
        <f t="shared" si="23"/>
        <v>14.593327618117016</v>
      </c>
      <c r="AN56" s="6">
        <f t="shared" si="24"/>
        <v>160.52660379928719</v>
      </c>
      <c r="AO56" s="6">
        <f t="shared" si="25"/>
        <v>24.160151299287179</v>
      </c>
      <c r="AP56" s="100">
        <f t="shared" si="26"/>
        <v>-1342.5352500000004</v>
      </c>
      <c r="AQ56" s="218">
        <v>1606041.9662482971</v>
      </c>
      <c r="AR56" s="100">
        <f t="shared" si="27"/>
        <v>-12.638659846624963</v>
      </c>
      <c r="AS56" s="100">
        <f t="shared" si="28"/>
        <v>-116.06367286834738</v>
      </c>
      <c r="AT56" s="6">
        <f t="shared" si="29"/>
        <v>11.567230441887329</v>
      </c>
      <c r="AU56" s="6">
        <f t="shared" si="30"/>
        <v>583.66681043870551</v>
      </c>
      <c r="AV56" s="6">
        <f t="shared" si="31"/>
        <v>660.87836283000956</v>
      </c>
      <c r="AW56" s="6" t="str">
        <f t="shared" si="32"/>
        <v/>
      </c>
      <c r="AX56" s="12" t="str">
        <f t="shared" si="33"/>
        <v/>
      </c>
      <c r="AY56" s="6">
        <f t="shared" si="34"/>
        <v>8.7550021565805769E-5</v>
      </c>
      <c r="AZ56" s="6">
        <f t="shared" si="35"/>
        <v>9.8541508357182539E-5</v>
      </c>
      <c r="BA56" s="6" t="str">
        <f t="shared" si="36"/>
        <v/>
      </c>
      <c r="BB56" s="12" t="str">
        <f t="shared" si="37"/>
        <v/>
      </c>
      <c r="BC56" s="6">
        <f t="shared" si="38"/>
        <v>0.10085762484380825</v>
      </c>
      <c r="BD56" s="6">
        <f t="shared" si="39"/>
        <v>0.18107002160632293</v>
      </c>
      <c r="BE56" s="6" t="str">
        <f t="shared" si="40"/>
        <v/>
      </c>
      <c r="BF56" s="12" t="str">
        <f t="shared" si="41"/>
        <v/>
      </c>
      <c r="BG56" s="12">
        <f t="shared" si="42"/>
        <v>0.28192764645013119</v>
      </c>
      <c r="BH56" s="23"/>
      <c r="BI56" s="23"/>
      <c r="BJ56" s="23"/>
    </row>
    <row r="57" spans="1:62">
      <c r="A57" s="22"/>
      <c r="B57" s="6"/>
      <c r="C57" s="158">
        <f>'主翼(型紙出力)'!B63</f>
        <v>12</v>
      </c>
      <c r="D57" s="227" t="str">
        <f t="shared" si="5"/>
        <v>1</v>
      </c>
      <c r="E57" s="12">
        <f>'主翼(型紙出力)'!C63</f>
        <v>1.8249999999999997</v>
      </c>
      <c r="F57" s="6">
        <f t="shared" si="6"/>
        <v>67.384435483870973</v>
      </c>
      <c r="G57" s="6">
        <f t="shared" si="6"/>
        <v>63.442008997980047</v>
      </c>
      <c r="H57" s="6">
        <f t="shared" si="7"/>
        <v>65.473435483870972</v>
      </c>
      <c r="I57" s="6">
        <f t="shared" si="7"/>
        <v>62.119008997980046</v>
      </c>
      <c r="J57" s="203">
        <v>1639417.0290343943</v>
      </c>
      <c r="K57" s="203">
        <v>1538183.6872667363</v>
      </c>
      <c r="L57" s="203">
        <v>3129354.3461380047</v>
      </c>
      <c r="M57" s="204">
        <v>688.40503234051459</v>
      </c>
      <c r="N57" s="204">
        <v>14539.721877773231</v>
      </c>
      <c r="O57" s="196">
        <v>427.70336611773439</v>
      </c>
      <c r="P57" s="6">
        <f t="shared" si="1"/>
        <v>90.627460642858509</v>
      </c>
      <c r="Q57" s="12">
        <f t="shared" si="2"/>
        <v>14.41495437773508</v>
      </c>
      <c r="R57" s="96">
        <f t="shared" si="8"/>
        <v>148576.20227604659</v>
      </c>
      <c r="S57" s="202">
        <f t="shared" si="9"/>
        <v>45109.500131346329</v>
      </c>
      <c r="T57" s="12" t="str">
        <f t="shared" si="3"/>
        <v/>
      </c>
      <c r="U57" s="12" t="str">
        <f t="shared" si="4"/>
        <v/>
      </c>
      <c r="V57" s="6" t="str">
        <f t="shared" si="10"/>
        <v/>
      </c>
      <c r="W57" s="6" t="str">
        <f t="shared" si="11"/>
        <v/>
      </c>
      <c r="X57" s="6">
        <f t="shared" si="12"/>
        <v>134.76887096774195</v>
      </c>
      <c r="Y57" s="6">
        <f t="shared" si="13"/>
        <v>126.88401799596009</v>
      </c>
      <c r="Z57" s="6">
        <f t="shared" si="14"/>
        <v>130.94687096774194</v>
      </c>
      <c r="AA57" s="6">
        <f t="shared" si="43"/>
        <v>124.23801799596009</v>
      </c>
      <c r="AB57" s="6" t="str">
        <f t="shared" si="16"/>
        <v/>
      </c>
      <c r="AC57" s="6" t="str">
        <f t="shared" si="17"/>
        <v/>
      </c>
      <c r="AD57" s="6" t="str">
        <f t="shared" si="18"/>
        <v/>
      </c>
      <c r="AE57" s="12" t="str">
        <f t="shared" si="19"/>
        <v/>
      </c>
      <c r="AF57" s="6" t="str">
        <f t="shared" si="20"/>
        <v/>
      </c>
      <c r="AG57" s="6" t="str">
        <f t="shared" si="21"/>
        <v/>
      </c>
      <c r="AH57" s="12" t="str">
        <f t="shared" si="0"/>
        <v/>
      </c>
      <c r="AI57" s="6" t="str">
        <f t="shared" si="22"/>
        <v/>
      </c>
      <c r="AJ57" s="12">
        <f>'主翼(型紙出力)'!AE63/100</f>
        <v>1</v>
      </c>
      <c r="AK57" s="12">
        <f>'主翼(型紙出力)'!AG63/100</f>
        <v>0</v>
      </c>
      <c r="AL57" s="12">
        <f>'主翼(型紙出力)'!D63/1000</f>
        <v>1.1000000000000001</v>
      </c>
      <c r="AM57" s="12">
        <f t="shared" si="23"/>
        <v>14.593327618117016</v>
      </c>
      <c r="AN57" s="6">
        <f t="shared" si="24"/>
        <v>160.52660379928719</v>
      </c>
      <c r="AO57" s="6">
        <f t="shared" si="25"/>
        <v>25.757732831545241</v>
      </c>
      <c r="AP57" s="100">
        <f t="shared" si="26"/>
        <v>-1729.2065000000005</v>
      </c>
      <c r="AQ57" s="218">
        <v>1553357.7074733113</v>
      </c>
      <c r="AR57" s="100">
        <f t="shared" si="27"/>
        <v>-62.941824505687428</v>
      </c>
      <c r="AS57" s="100">
        <f t="shared" si="28"/>
        <v>-120.28182663036876</v>
      </c>
      <c r="AT57" s="6">
        <f t="shared" si="29"/>
        <v>14.376290653732145</v>
      </c>
      <c r="AU57" s="6" t="str">
        <f t="shared" si="30"/>
        <v/>
      </c>
      <c r="AV57" s="6">
        <f t="shared" si="31"/>
        <v>653.00841526575857</v>
      </c>
      <c r="AW57" s="6" t="str">
        <f t="shared" si="32"/>
        <v/>
      </c>
      <c r="AX57" s="12" t="str">
        <f t="shared" si="33"/>
        <v/>
      </c>
      <c r="AY57" s="6" t="str">
        <f t="shared" si="34"/>
        <v/>
      </c>
      <c r="AZ57" s="6">
        <f t="shared" si="35"/>
        <v>9.7357810571415445E-5</v>
      </c>
      <c r="BA57" s="6" t="str">
        <f t="shared" si="36"/>
        <v/>
      </c>
      <c r="BB57" s="12" t="str">
        <f t="shared" si="37"/>
        <v/>
      </c>
      <c r="BC57" s="6" t="str">
        <f t="shared" si="38"/>
        <v/>
      </c>
      <c r="BD57" s="6">
        <f t="shared" si="39"/>
        <v>0.17889497692497588</v>
      </c>
      <c r="BE57" s="6" t="str">
        <f t="shared" si="40"/>
        <v/>
      </c>
      <c r="BF57" s="12" t="str">
        <f t="shared" si="41"/>
        <v/>
      </c>
      <c r="BG57" s="12">
        <f t="shared" si="42"/>
        <v>0.17889497692497588</v>
      </c>
      <c r="BH57" s="23"/>
      <c r="BI57" s="23"/>
      <c r="BJ57" s="23"/>
    </row>
    <row r="58" spans="1:62">
      <c r="A58" s="22"/>
      <c r="B58" s="6"/>
      <c r="C58" s="100">
        <f>'主翼(型紙出力)'!B64</f>
        <v>13</v>
      </c>
      <c r="D58" s="227" t="str">
        <f t="shared" si="5"/>
        <v>1</v>
      </c>
      <c r="E58" s="12">
        <f>'主翼(型紙出力)'!C64</f>
        <v>1.9749999999999996</v>
      </c>
      <c r="F58" s="6">
        <f t="shared" si="6"/>
        <v>66.581306451612903</v>
      </c>
      <c r="G58" s="6">
        <f t="shared" si="6"/>
        <v>62.680026993940132</v>
      </c>
      <c r="H58" s="6">
        <f t="shared" si="7"/>
        <v>64.670306451612902</v>
      </c>
      <c r="I58" s="6">
        <f t="shared" si="7"/>
        <v>61.357026993940131</v>
      </c>
      <c r="J58" s="203">
        <v>1580652.3813980604</v>
      </c>
      <c r="K58" s="203">
        <v>1482823.5207658722</v>
      </c>
      <c r="L58" s="203">
        <v>3016967.3387544872</v>
      </c>
      <c r="M58" s="204">
        <v>680.064790636628</v>
      </c>
      <c r="N58" s="204">
        <v>14189.413826422418</v>
      </c>
      <c r="O58" s="196">
        <v>422.51897595080027</v>
      </c>
      <c r="P58" s="6">
        <f t="shared" si="1"/>
        <v>90.627460642858509</v>
      </c>
      <c r="Q58" s="12">
        <f t="shared" si="2"/>
        <v>14.41495437773508</v>
      </c>
      <c r="R58" s="96">
        <f t="shared" si="8"/>
        <v>143250.51148519327</v>
      </c>
      <c r="S58" s="202">
        <f t="shared" si="9"/>
        <v>43489.446547262749</v>
      </c>
      <c r="T58" s="12" t="str">
        <f t="shared" si="3"/>
        <v/>
      </c>
      <c r="U58" s="12" t="str">
        <f t="shared" si="4"/>
        <v/>
      </c>
      <c r="V58" s="6" t="str">
        <f t="shared" si="10"/>
        <v/>
      </c>
      <c r="W58" s="6" t="str">
        <f t="shared" si="11"/>
        <v/>
      </c>
      <c r="X58" s="6">
        <f t="shared" si="12"/>
        <v>133.16261290322581</v>
      </c>
      <c r="Y58" s="6">
        <f t="shared" si="13"/>
        <v>125.36005398788026</v>
      </c>
      <c r="Z58" s="6">
        <f t="shared" si="14"/>
        <v>129.3406129032258</v>
      </c>
      <c r="AA58" s="6">
        <f t="shared" si="43"/>
        <v>122.71405398788026</v>
      </c>
      <c r="AB58" s="6" t="str">
        <f t="shared" si="16"/>
        <v/>
      </c>
      <c r="AC58" s="6" t="str">
        <f t="shared" si="17"/>
        <v/>
      </c>
      <c r="AD58" s="6" t="str">
        <f t="shared" si="18"/>
        <v/>
      </c>
      <c r="AE58" s="12" t="str">
        <f t="shared" si="19"/>
        <v/>
      </c>
      <c r="AF58" s="6" t="str">
        <f t="shared" si="20"/>
        <v/>
      </c>
      <c r="AG58" s="6" t="str">
        <f t="shared" si="21"/>
        <v/>
      </c>
      <c r="AH58" s="12" t="str">
        <f t="shared" si="0"/>
        <v/>
      </c>
      <c r="AI58" s="6" t="str">
        <f t="shared" si="22"/>
        <v/>
      </c>
      <c r="AJ58" s="12">
        <f>'主翼(型紙出力)'!AE64/100</f>
        <v>1</v>
      </c>
      <c r="AK58" s="12">
        <f>'主翼(型紙出力)'!AG64/100</f>
        <v>0</v>
      </c>
      <c r="AL58" s="12">
        <f>'主翼(型紙出力)'!D64/1000</f>
        <v>1.1000000000000001</v>
      </c>
      <c r="AM58" s="12">
        <f t="shared" si="23"/>
        <v>14.593327618117016</v>
      </c>
      <c r="AN58" s="6">
        <f t="shared" si="24"/>
        <v>160.52660379928719</v>
      </c>
      <c r="AO58" s="6">
        <f t="shared" si="25"/>
        <v>27.363990896061381</v>
      </c>
      <c r="AP58" s="100">
        <f t="shared" si="26"/>
        <v>-1729.2065000000005</v>
      </c>
      <c r="AQ58" s="218">
        <v>1501699.6157183482</v>
      </c>
      <c r="AR58" s="100">
        <f t="shared" si="27"/>
        <v>-62.347831496276086</v>
      </c>
      <c r="AS58" s="100">
        <f t="shared" si="28"/>
        <v>-119.14670598938369</v>
      </c>
      <c r="AT58" s="6">
        <f t="shared" si="29"/>
        <v>14.513254778139462</v>
      </c>
      <c r="AU58" s="6" t="str">
        <f t="shared" si="30"/>
        <v/>
      </c>
      <c r="AV58" s="6">
        <f t="shared" si="31"/>
        <v>645.0957256864483</v>
      </c>
      <c r="AW58" s="6" t="str">
        <f t="shared" si="32"/>
        <v/>
      </c>
      <c r="AX58" s="12" t="str">
        <f t="shared" si="33"/>
        <v/>
      </c>
      <c r="AY58" s="6" t="str">
        <f t="shared" si="34"/>
        <v/>
      </c>
      <c r="AZ58" s="6">
        <f t="shared" si="35"/>
        <v>9.6170907134519027E-5</v>
      </c>
      <c r="BA58" s="6" t="str">
        <f t="shared" si="36"/>
        <v/>
      </c>
      <c r="BB58" s="12" t="str">
        <f t="shared" si="37"/>
        <v/>
      </c>
      <c r="BC58" s="6" t="str">
        <f t="shared" si="38"/>
        <v/>
      </c>
      <c r="BD58" s="6">
        <f t="shared" si="39"/>
        <v>0.17671404185967873</v>
      </c>
      <c r="BE58" s="6" t="str">
        <f t="shared" si="40"/>
        <v/>
      </c>
      <c r="BF58" s="12" t="str">
        <f t="shared" si="41"/>
        <v/>
      </c>
      <c r="BG58" s="12">
        <f t="shared" si="42"/>
        <v>0.17671404185967873</v>
      </c>
      <c r="BH58" s="23"/>
      <c r="BI58" s="23"/>
      <c r="BJ58" s="23"/>
    </row>
    <row r="59" spans="1:62">
      <c r="A59" s="22"/>
      <c r="B59" s="6"/>
      <c r="C59" s="158">
        <f>'主翼(型紙出力)'!B65</f>
        <v>14</v>
      </c>
      <c r="D59" s="227" t="str">
        <f t="shared" si="5"/>
        <v>1</v>
      </c>
      <c r="E59" s="12">
        <f>'主翼(型紙出力)'!C65</f>
        <v>2.1249999999999996</v>
      </c>
      <c r="F59" s="6">
        <f t="shared" si="6"/>
        <v>65.778177419354847</v>
      </c>
      <c r="G59" s="6">
        <f t="shared" si="6"/>
        <v>61.918044989900231</v>
      </c>
      <c r="H59" s="6">
        <f t="shared" si="7"/>
        <v>63.867177419354846</v>
      </c>
      <c r="I59" s="6">
        <f t="shared" si="7"/>
        <v>60.595044989900231</v>
      </c>
      <c r="J59" s="203">
        <v>1523309.0568638884</v>
      </c>
      <c r="K59" s="203">
        <v>1428807.8456162848</v>
      </c>
      <c r="L59" s="203">
        <v>2907303.8794917194</v>
      </c>
      <c r="M59" s="204">
        <v>671.72454863333428</v>
      </c>
      <c r="N59" s="204">
        <v>13843.377380504286</v>
      </c>
      <c r="O59" s="196">
        <v>417.33458618326677</v>
      </c>
      <c r="P59" s="6">
        <f t="shared" si="1"/>
        <v>90.627460642858509</v>
      </c>
      <c r="Q59" s="12">
        <f t="shared" si="2"/>
        <v>14.41495437773508</v>
      </c>
      <c r="R59" s="96">
        <f t="shared" si="8"/>
        <v>138053.63159784194</v>
      </c>
      <c r="S59" s="202">
        <f t="shared" si="9"/>
        <v>41908.652785085345</v>
      </c>
      <c r="T59" s="12" t="str">
        <f t="shared" si="3"/>
        <v/>
      </c>
      <c r="U59" s="12" t="str">
        <f t="shared" si="4"/>
        <v/>
      </c>
      <c r="V59" s="6" t="str">
        <f t="shared" si="10"/>
        <v/>
      </c>
      <c r="W59" s="6" t="str">
        <f t="shared" si="11"/>
        <v/>
      </c>
      <c r="X59" s="6">
        <f t="shared" si="12"/>
        <v>131.55635483870969</v>
      </c>
      <c r="Y59" s="6">
        <f t="shared" si="13"/>
        <v>123.83608997980046</v>
      </c>
      <c r="Z59" s="6">
        <f t="shared" si="14"/>
        <v>127.73435483870969</v>
      </c>
      <c r="AA59" s="6">
        <f t="shared" si="43"/>
        <v>121.19008997980046</v>
      </c>
      <c r="AB59" s="6" t="str">
        <f t="shared" si="16"/>
        <v/>
      </c>
      <c r="AC59" s="6" t="str">
        <f t="shared" si="17"/>
        <v/>
      </c>
      <c r="AD59" s="6" t="str">
        <f t="shared" si="18"/>
        <v/>
      </c>
      <c r="AE59" s="12" t="str">
        <f t="shared" si="19"/>
        <v/>
      </c>
      <c r="AF59" s="6" t="str">
        <f t="shared" si="20"/>
        <v/>
      </c>
      <c r="AG59" s="6" t="str">
        <f t="shared" si="21"/>
        <v/>
      </c>
      <c r="AH59" s="12" t="str">
        <f t="shared" si="0"/>
        <v/>
      </c>
      <c r="AI59" s="6" t="str">
        <f t="shared" si="22"/>
        <v/>
      </c>
      <c r="AJ59" s="12">
        <f>'主翼(型紙出力)'!AE65/100</f>
        <v>1</v>
      </c>
      <c r="AK59" s="12">
        <f>'主翼(型紙出力)'!AG65/100</f>
        <v>0</v>
      </c>
      <c r="AL59" s="12">
        <f>'主翼(型紙出力)'!D65/1000</f>
        <v>1.1000000000000001</v>
      </c>
      <c r="AM59" s="12">
        <f t="shared" si="23"/>
        <v>14.593327618117016</v>
      </c>
      <c r="AN59" s="6">
        <f t="shared" si="24"/>
        <v>160.52660379928719</v>
      </c>
      <c r="AO59" s="6">
        <f t="shared" si="25"/>
        <v>28.970248960577493</v>
      </c>
      <c r="AP59" s="100">
        <f t="shared" si="26"/>
        <v>-1729.2065000000005</v>
      </c>
      <c r="AQ59" s="218">
        <v>1451101.094078423</v>
      </c>
      <c r="AR59" s="100">
        <f t="shared" si="27"/>
        <v>-61.74995001866084</v>
      </c>
      <c r="AS59" s="100">
        <f t="shared" si="28"/>
        <v>-118.00415448566095</v>
      </c>
      <c r="AT59" s="6">
        <f t="shared" si="29"/>
        <v>14.653776449964917</v>
      </c>
      <c r="AU59" s="6" t="str">
        <f t="shared" si="30"/>
        <v/>
      </c>
      <c r="AV59" s="6">
        <f t="shared" si="31"/>
        <v>637.1830361071394</v>
      </c>
      <c r="AW59" s="6" t="str">
        <f t="shared" si="32"/>
        <v/>
      </c>
      <c r="AX59" s="12" t="str">
        <f t="shared" si="33"/>
        <v/>
      </c>
      <c r="AY59" s="6" t="str">
        <f t="shared" si="34"/>
        <v/>
      </c>
      <c r="AZ59" s="6">
        <f t="shared" si="35"/>
        <v>9.4984003697622568E-5</v>
      </c>
      <c r="BA59" s="6" t="str">
        <f t="shared" si="36"/>
        <v/>
      </c>
      <c r="BB59" s="12" t="str">
        <f t="shared" si="37"/>
        <v/>
      </c>
      <c r="BC59" s="6" t="str">
        <f t="shared" si="38"/>
        <v/>
      </c>
      <c r="BD59" s="6">
        <f t="shared" si="39"/>
        <v>0.1745331067943815</v>
      </c>
      <c r="BE59" s="6" t="str">
        <f t="shared" si="40"/>
        <v/>
      </c>
      <c r="BF59" s="12" t="str">
        <f t="shared" si="41"/>
        <v/>
      </c>
      <c r="BG59" s="12">
        <f t="shared" si="42"/>
        <v>0.1745331067943815</v>
      </c>
      <c r="BH59" s="23"/>
      <c r="BI59" s="23"/>
      <c r="BJ59" s="23"/>
    </row>
    <row r="60" spans="1:62">
      <c r="A60" s="22"/>
      <c r="B60" s="6"/>
      <c r="C60" s="100">
        <f>'主翼(型紙出力)'!B66</f>
        <v>15</v>
      </c>
      <c r="D60" s="227" t="str">
        <f t="shared" si="5"/>
        <v>1</v>
      </c>
      <c r="E60" s="12">
        <f>'主翼(型紙出力)'!C66</f>
        <v>2.2749999999999995</v>
      </c>
      <c r="F60" s="6">
        <f t="shared" si="6"/>
        <v>64.975048387096777</v>
      </c>
      <c r="G60" s="6">
        <f t="shared" si="6"/>
        <v>61.156062985860324</v>
      </c>
      <c r="H60" s="6">
        <f t="shared" si="7"/>
        <v>63.064048387096783</v>
      </c>
      <c r="I60" s="6">
        <f t="shared" si="7"/>
        <v>59.833062985860323</v>
      </c>
      <c r="J60" s="203">
        <v>1467369.6556014421</v>
      </c>
      <c r="K60" s="203">
        <v>1376120.1339763342</v>
      </c>
      <c r="L60" s="203">
        <v>2800330.5613651723</v>
      </c>
      <c r="M60" s="204">
        <v>663.38430631962763</v>
      </c>
      <c r="N60" s="204">
        <v>13501.612540018825</v>
      </c>
      <c r="O60" s="196">
        <v>412.15019683021347</v>
      </c>
      <c r="P60" s="6">
        <f t="shared" si="1"/>
        <v>90.627460642858509</v>
      </c>
      <c r="Q60" s="12">
        <f t="shared" si="2"/>
        <v>14.41495437773508</v>
      </c>
      <c r="R60" s="96">
        <f t="shared" si="8"/>
        <v>132983.98571154452</v>
      </c>
      <c r="S60" s="202">
        <f t="shared" si="9"/>
        <v>40366.637284656223</v>
      </c>
      <c r="T60" s="12" t="str">
        <f t="shared" si="3"/>
        <v/>
      </c>
      <c r="U60" s="12" t="str">
        <f t="shared" si="4"/>
        <v/>
      </c>
      <c r="V60" s="6" t="str">
        <f t="shared" si="10"/>
        <v/>
      </c>
      <c r="W60" s="6" t="str">
        <f t="shared" si="11"/>
        <v/>
      </c>
      <c r="X60" s="6">
        <f t="shared" si="12"/>
        <v>129.95009677419355</v>
      </c>
      <c r="Y60" s="6">
        <f t="shared" si="13"/>
        <v>122.31212597172065</v>
      </c>
      <c r="Z60" s="6">
        <f t="shared" si="14"/>
        <v>126.12809677419357</v>
      </c>
      <c r="AA60" s="6">
        <f t="shared" si="43"/>
        <v>119.66612597172065</v>
      </c>
      <c r="AB60" s="6" t="str">
        <f t="shared" si="16"/>
        <v/>
      </c>
      <c r="AC60" s="6" t="str">
        <f t="shared" si="17"/>
        <v/>
      </c>
      <c r="AD60" s="6" t="str">
        <f t="shared" si="18"/>
        <v/>
      </c>
      <c r="AE60" s="12" t="str">
        <f t="shared" si="19"/>
        <v/>
      </c>
      <c r="AF60" s="6" t="str">
        <f t="shared" si="20"/>
        <v/>
      </c>
      <c r="AG60" s="6" t="str">
        <f t="shared" si="21"/>
        <v/>
      </c>
      <c r="AH60" s="12" t="str">
        <f t="shared" si="0"/>
        <v/>
      </c>
      <c r="AI60" s="6" t="str">
        <f t="shared" si="22"/>
        <v/>
      </c>
      <c r="AJ60" s="12">
        <f>'主翼(型紙出力)'!AE66/100</f>
        <v>1.0000000000000002</v>
      </c>
      <c r="AK60" s="12">
        <f>'主翼(型紙出力)'!AG66/100</f>
        <v>-1.724618290679855E-16</v>
      </c>
      <c r="AL60" s="12">
        <f>'主翼(型紙出力)'!D66/1000</f>
        <v>1.1000000000000001</v>
      </c>
      <c r="AM60" s="12">
        <f t="shared" si="23"/>
        <v>14.593327618117018</v>
      </c>
      <c r="AN60" s="6">
        <f t="shared" si="24"/>
        <v>160.52660379928719</v>
      </c>
      <c r="AO60" s="6">
        <f t="shared" si="25"/>
        <v>30.576507025093633</v>
      </c>
      <c r="AP60" s="100">
        <f t="shared" si="26"/>
        <v>-1729.2065000000005</v>
      </c>
      <c r="AQ60" s="218">
        <v>1401560.7402266539</v>
      </c>
      <c r="AR60" s="100">
        <f t="shared" si="27"/>
        <v>-61.148385673559694</v>
      </c>
      <c r="AS60" s="100">
        <f t="shared" si="28"/>
        <v>-116.85456502217222</v>
      </c>
      <c r="AT60" s="6">
        <f t="shared" si="29"/>
        <v>14.797937073933717</v>
      </c>
      <c r="AU60" s="6" t="str">
        <f t="shared" si="30"/>
        <v/>
      </c>
      <c r="AV60" s="6">
        <f t="shared" si="31"/>
        <v>629.27034652782902</v>
      </c>
      <c r="AW60" s="6" t="str">
        <f t="shared" si="32"/>
        <v/>
      </c>
      <c r="AX60" s="12" t="str">
        <f t="shared" si="33"/>
        <v/>
      </c>
      <c r="AY60" s="6" t="str">
        <f t="shared" si="34"/>
        <v/>
      </c>
      <c r="AZ60" s="6">
        <f t="shared" si="35"/>
        <v>9.3797100260726245E-5</v>
      </c>
      <c r="BA60" s="6" t="str">
        <f t="shared" si="36"/>
        <v/>
      </c>
      <c r="BB60" s="12" t="str">
        <f t="shared" si="37"/>
        <v/>
      </c>
      <c r="BC60" s="6" t="str">
        <f t="shared" si="38"/>
        <v/>
      </c>
      <c r="BD60" s="6">
        <f t="shared" si="39"/>
        <v>0.17235217172908449</v>
      </c>
      <c r="BE60" s="6" t="str">
        <f t="shared" si="40"/>
        <v/>
      </c>
      <c r="BF60" s="12" t="str">
        <f t="shared" si="41"/>
        <v/>
      </c>
      <c r="BG60" s="12">
        <f t="shared" si="42"/>
        <v>0.17235217172908449</v>
      </c>
      <c r="BH60" s="23"/>
      <c r="BI60" s="23"/>
      <c r="BJ60" s="23"/>
    </row>
    <row r="61" spans="1:62">
      <c r="A61" s="22"/>
      <c r="B61" s="6"/>
      <c r="C61" s="158">
        <f>'主翼(型紙出力)'!B67</f>
        <v>16</v>
      </c>
      <c r="D61" s="227" t="str">
        <f t="shared" si="5"/>
        <v>1</v>
      </c>
      <c r="E61" s="12">
        <f>'主翼(型紙出力)'!C67</f>
        <v>2.4249999999999994</v>
      </c>
      <c r="F61" s="6">
        <f t="shared" si="6"/>
        <v>64.171919354838721</v>
      </c>
      <c r="G61" s="6">
        <f t="shared" si="6"/>
        <v>60.394080981820416</v>
      </c>
      <c r="H61" s="6">
        <f t="shared" si="7"/>
        <v>62.26091935483872</v>
      </c>
      <c r="I61" s="6">
        <f t="shared" si="7"/>
        <v>59.071080981820415</v>
      </c>
      <c r="J61" s="203">
        <v>1412816.7777803701</v>
      </c>
      <c r="K61" s="203">
        <v>1324743.858004411</v>
      </c>
      <c r="L61" s="203">
        <v>2696013.9773903121</v>
      </c>
      <c r="M61" s="204">
        <v>655.04406368394802</v>
      </c>
      <c r="N61" s="204">
        <v>13164.119304966041</v>
      </c>
      <c r="O61" s="196">
        <v>406.96580790746157</v>
      </c>
      <c r="P61" s="6">
        <f t="shared" si="1"/>
        <v>90.627460642858509</v>
      </c>
      <c r="Q61" s="12">
        <f t="shared" si="2"/>
        <v>14.41495437773508</v>
      </c>
      <c r="R61" s="96">
        <f t="shared" si="8"/>
        <v>128039.99692386066</v>
      </c>
      <c r="S61" s="202">
        <f t="shared" si="9"/>
        <v>38862.918485817449</v>
      </c>
      <c r="T61" s="12" t="str">
        <f t="shared" si="3"/>
        <v/>
      </c>
      <c r="U61" s="12" t="str">
        <f t="shared" si="4"/>
        <v/>
      </c>
      <c r="V61" s="6" t="str">
        <f t="shared" si="10"/>
        <v/>
      </c>
      <c r="W61" s="6" t="str">
        <f t="shared" si="11"/>
        <v/>
      </c>
      <c r="X61" s="6">
        <f t="shared" si="12"/>
        <v>128.34383870967744</v>
      </c>
      <c r="Y61" s="6">
        <f t="shared" si="13"/>
        <v>120.78816196364083</v>
      </c>
      <c r="Z61" s="6">
        <f t="shared" si="14"/>
        <v>124.52183870967744</v>
      </c>
      <c r="AA61" s="6">
        <f t="shared" si="43"/>
        <v>118.14216196364083</v>
      </c>
      <c r="AB61" s="6" t="str">
        <f t="shared" si="16"/>
        <v/>
      </c>
      <c r="AC61" s="6" t="str">
        <f t="shared" si="17"/>
        <v/>
      </c>
      <c r="AD61" s="6" t="str">
        <f t="shared" si="18"/>
        <v/>
      </c>
      <c r="AE61" s="12" t="str">
        <f t="shared" si="19"/>
        <v/>
      </c>
      <c r="AF61" s="6" t="str">
        <f t="shared" si="20"/>
        <v/>
      </c>
      <c r="AG61" s="6" t="str">
        <f t="shared" si="21"/>
        <v/>
      </c>
      <c r="AH61" s="12" t="str">
        <f t="shared" si="0"/>
        <v/>
      </c>
      <c r="AI61" s="6" t="str">
        <f t="shared" si="22"/>
        <v/>
      </c>
      <c r="AJ61" s="12">
        <f>'主翼(型紙出力)'!AE67/100</f>
        <v>0.94174757281553412</v>
      </c>
      <c r="AK61" s="12">
        <f>'主翼(型紙出力)'!AG67/100</f>
        <v>5.8252427184465813E-2</v>
      </c>
      <c r="AL61" s="12">
        <f>'主翼(型紙出力)'!D67/1000</f>
        <v>1.088233009708738</v>
      </c>
      <c r="AM61" s="12">
        <f t="shared" si="23"/>
        <v>14.558197797416295</v>
      </c>
      <c r="AN61" s="6">
        <f t="shared" si="24"/>
        <v>158.42711405017457</v>
      </c>
      <c r="AO61" s="6">
        <f t="shared" si="25"/>
        <v>30.083275340497124</v>
      </c>
      <c r="AP61" s="100">
        <f t="shared" si="26"/>
        <v>-1729.2065000000005</v>
      </c>
      <c r="AQ61" s="218">
        <v>1353076.6904945001</v>
      </c>
      <c r="AR61" s="100">
        <f t="shared" si="27"/>
        <v>-60.543351997802198</v>
      </c>
      <c r="AS61" s="100">
        <f t="shared" si="28"/>
        <v>-115.69834566780008</v>
      </c>
      <c r="AT61" s="6">
        <f t="shared" si="29"/>
        <v>14.945818715204453</v>
      </c>
      <c r="AU61" s="6" t="str">
        <f t="shared" si="30"/>
        <v/>
      </c>
      <c r="AV61" s="6">
        <f t="shared" si="31"/>
        <v>621.35765694852159</v>
      </c>
      <c r="AW61" s="6" t="str">
        <f t="shared" si="32"/>
        <v/>
      </c>
      <c r="AX61" s="12" t="str">
        <f t="shared" si="33"/>
        <v/>
      </c>
      <c r="AY61" s="6" t="str">
        <f t="shared" si="34"/>
        <v/>
      </c>
      <c r="AZ61" s="6">
        <f t="shared" si="35"/>
        <v>9.2610196823829908E-5</v>
      </c>
      <c r="BA61" s="6" t="str">
        <f t="shared" si="36"/>
        <v/>
      </c>
      <c r="BB61" s="12" t="str">
        <f t="shared" si="37"/>
        <v/>
      </c>
      <c r="BC61" s="6" t="str">
        <f t="shared" si="38"/>
        <v/>
      </c>
      <c r="BD61" s="6">
        <f t="shared" si="39"/>
        <v>0.17017123666378747</v>
      </c>
      <c r="BE61" s="6" t="str">
        <f t="shared" si="40"/>
        <v/>
      </c>
      <c r="BF61" s="12" t="str">
        <f t="shared" si="41"/>
        <v/>
      </c>
      <c r="BG61" s="12">
        <f t="shared" si="42"/>
        <v>0.17017123666378747</v>
      </c>
      <c r="BH61" s="23"/>
      <c r="BI61" s="23"/>
      <c r="BJ61" s="23"/>
    </row>
    <row r="62" spans="1:62">
      <c r="A62" s="22"/>
      <c r="B62" s="6"/>
      <c r="C62" s="100">
        <f>'主翼(型紙出力)'!B68</f>
        <v>17</v>
      </c>
      <c r="D62" s="227" t="str">
        <f t="shared" si="5"/>
        <v>1</v>
      </c>
      <c r="E62" s="12">
        <f>'主翼(型紙出力)'!C68</f>
        <v>2.5749999999999993</v>
      </c>
      <c r="F62" s="6">
        <f t="shared" si="6"/>
        <v>63.368790322580651</v>
      </c>
      <c r="G62" s="6">
        <f t="shared" si="6"/>
        <v>59.632098977780501</v>
      </c>
      <c r="H62" s="6">
        <f t="shared" si="7"/>
        <v>61.457790322580649</v>
      </c>
      <c r="I62" s="6">
        <f t="shared" si="7"/>
        <v>58.309098977780501</v>
      </c>
      <c r="J62" s="203">
        <v>1359633.0235702367</v>
      </c>
      <c r="K62" s="203">
        <v>1274662.489858842</v>
      </c>
      <c r="L62" s="203">
        <v>2594320.7205826114</v>
      </c>
      <c r="M62" s="204">
        <v>646.7038207141552</v>
      </c>
      <c r="N62" s="204">
        <v>12830.89767534593</v>
      </c>
      <c r="O62" s="196">
        <v>401.78141943166673</v>
      </c>
      <c r="P62" s="6">
        <f t="shared" si="1"/>
        <v>90.627460642858509</v>
      </c>
      <c r="Q62" s="12">
        <f t="shared" si="2"/>
        <v>14.41495437773508</v>
      </c>
      <c r="R62" s="96">
        <f t="shared" si="8"/>
        <v>123220.08833234233</v>
      </c>
      <c r="S62" s="202">
        <f t="shared" si="9"/>
        <v>37397.014828411142</v>
      </c>
      <c r="T62" s="12" t="str">
        <f t="shared" si="3"/>
        <v/>
      </c>
      <c r="U62" s="12" t="str">
        <f t="shared" si="4"/>
        <v/>
      </c>
      <c r="V62" s="6" t="str">
        <f t="shared" si="10"/>
        <v/>
      </c>
      <c r="W62" s="6" t="str">
        <f t="shared" si="11"/>
        <v/>
      </c>
      <c r="X62" s="6">
        <f t="shared" si="12"/>
        <v>126.7375806451613</v>
      </c>
      <c r="Y62" s="6">
        <f t="shared" si="13"/>
        <v>119.264197955561</v>
      </c>
      <c r="Z62" s="6">
        <f t="shared" si="14"/>
        <v>122.9155806451613</v>
      </c>
      <c r="AA62" s="6">
        <f t="shared" si="43"/>
        <v>116.618197955561</v>
      </c>
      <c r="AB62" s="6" t="str">
        <f t="shared" si="16"/>
        <v/>
      </c>
      <c r="AC62" s="6" t="str">
        <f t="shared" si="17"/>
        <v/>
      </c>
      <c r="AD62" s="6" t="str">
        <f t="shared" si="18"/>
        <v/>
      </c>
      <c r="AE62" s="12" t="str">
        <f t="shared" si="19"/>
        <v/>
      </c>
      <c r="AF62" s="6" t="str">
        <f t="shared" si="20"/>
        <v/>
      </c>
      <c r="AG62" s="6" t="str">
        <f t="shared" si="21"/>
        <v/>
      </c>
      <c r="AH62" s="12" t="str">
        <f t="shared" si="0"/>
        <v/>
      </c>
      <c r="AI62" s="6" t="str">
        <f t="shared" si="22"/>
        <v/>
      </c>
      <c r="AJ62" s="12">
        <f>'主翼(型紙出力)'!AE68/100</f>
        <v>0.88349514563106823</v>
      </c>
      <c r="AK62" s="12">
        <f>'主翼(型紙出力)'!AG68/100</f>
        <v>0.11650485436893181</v>
      </c>
      <c r="AL62" s="12">
        <f>'主翼(型紙出力)'!D68/1000</f>
        <v>1.076466019417476</v>
      </c>
      <c r="AM62" s="12">
        <f t="shared" si="23"/>
        <v>14.523067976715575</v>
      </c>
      <c r="AN62" s="6">
        <f t="shared" si="24"/>
        <v>156.33589174624433</v>
      </c>
      <c r="AO62" s="6">
        <f t="shared" si="25"/>
        <v>29.598311101083027</v>
      </c>
      <c r="AP62" s="100">
        <f t="shared" si="26"/>
        <v>-1729.2065000000005</v>
      </c>
      <c r="AQ62" s="218">
        <v>1305645.3957822444</v>
      </c>
      <c r="AR62" s="100">
        <f t="shared" si="27"/>
        <v>-59.935014619838917</v>
      </c>
      <c r="AS62" s="100">
        <f t="shared" si="28"/>
        <v>-114.53581293851225</v>
      </c>
      <c r="AT62" s="6">
        <f t="shared" si="29"/>
        <v>15.09751802196849</v>
      </c>
      <c r="AU62" s="6" t="str">
        <f t="shared" si="30"/>
        <v/>
      </c>
      <c r="AV62" s="6">
        <f t="shared" si="31"/>
        <v>613.44496736921121</v>
      </c>
      <c r="AW62" s="6" t="str">
        <f t="shared" si="32"/>
        <v/>
      </c>
      <c r="AX62" s="12" t="str">
        <f t="shared" si="33"/>
        <v/>
      </c>
      <c r="AY62" s="6" t="str">
        <f t="shared" si="34"/>
        <v/>
      </c>
      <c r="AZ62" s="6">
        <f t="shared" si="35"/>
        <v>9.1423293386933436E-5</v>
      </c>
      <c r="BA62" s="6" t="str">
        <f t="shared" si="36"/>
        <v/>
      </c>
      <c r="BB62" s="12" t="str">
        <f t="shared" si="37"/>
        <v/>
      </c>
      <c r="BC62" s="6" t="str">
        <f t="shared" si="38"/>
        <v/>
      </c>
      <c r="BD62" s="6">
        <f t="shared" si="39"/>
        <v>0.16799030159849018</v>
      </c>
      <c r="BE62" s="6" t="str">
        <f t="shared" si="40"/>
        <v/>
      </c>
      <c r="BF62" s="12" t="str">
        <f t="shared" si="41"/>
        <v/>
      </c>
      <c r="BG62" s="12">
        <f t="shared" si="42"/>
        <v>0.16799030159849018</v>
      </c>
      <c r="BH62" s="23"/>
      <c r="BI62" s="23"/>
      <c r="BJ62" s="23"/>
    </row>
    <row r="63" spans="1:62">
      <c r="A63" s="22"/>
      <c r="B63" s="6"/>
      <c r="C63" s="158">
        <f>'主翼(型紙出力)'!B69</f>
        <v>18</v>
      </c>
      <c r="D63" s="227" t="str">
        <f t="shared" si="5"/>
        <v>1</v>
      </c>
      <c r="E63" s="12">
        <f>'主翼(型紙出力)'!C69</f>
        <v>2.7249999999999992</v>
      </c>
      <c r="F63" s="6">
        <f t="shared" si="6"/>
        <v>62.565661290322588</v>
      </c>
      <c r="G63" s="6">
        <f t="shared" si="6"/>
        <v>58.870116973740593</v>
      </c>
      <c r="H63" s="6">
        <f t="shared" si="7"/>
        <v>60.654661290322586</v>
      </c>
      <c r="I63" s="6">
        <f t="shared" si="7"/>
        <v>57.547116973740593</v>
      </c>
      <c r="J63" s="203">
        <v>1307800.9931406851</v>
      </c>
      <c r="K63" s="203">
        <v>1225859.5016980248</v>
      </c>
      <c r="L63" s="203">
        <v>2495217.3839575527</v>
      </c>
      <c r="M63" s="204">
        <v>638.36357739750281</v>
      </c>
      <c r="N63" s="204">
        <v>12501.947651158491</v>
      </c>
      <c r="O63" s="196">
        <v>396.5970314203563</v>
      </c>
      <c r="P63" s="6">
        <f t="shared" si="1"/>
        <v>90.627460642858509</v>
      </c>
      <c r="Q63" s="12">
        <f t="shared" si="2"/>
        <v>14.41495437773508</v>
      </c>
      <c r="R63" s="96">
        <f t="shared" si="8"/>
        <v>118522.6830345487</v>
      </c>
      <c r="S63" s="202">
        <f t="shared" si="9"/>
        <v>35968.444752279596</v>
      </c>
      <c r="T63" s="12" t="str">
        <f t="shared" si="3"/>
        <v/>
      </c>
      <c r="U63" s="12" t="str">
        <f t="shared" si="4"/>
        <v/>
      </c>
      <c r="V63" s="6" t="str">
        <f t="shared" si="10"/>
        <v/>
      </c>
      <c r="W63" s="6" t="str">
        <f t="shared" si="11"/>
        <v/>
      </c>
      <c r="X63" s="6">
        <f t="shared" si="12"/>
        <v>125.13132258064518</v>
      </c>
      <c r="Y63" s="6">
        <f t="shared" si="13"/>
        <v>117.74023394748119</v>
      </c>
      <c r="Z63" s="6">
        <f t="shared" si="14"/>
        <v>121.30932258064517</v>
      </c>
      <c r="AA63" s="6">
        <f t="shared" si="43"/>
        <v>115.09423394748119</v>
      </c>
      <c r="AB63" s="6" t="str">
        <f t="shared" si="16"/>
        <v/>
      </c>
      <c r="AC63" s="6" t="str">
        <f t="shared" si="17"/>
        <v/>
      </c>
      <c r="AD63" s="6" t="str">
        <f t="shared" si="18"/>
        <v/>
      </c>
      <c r="AE63" s="12" t="str">
        <f t="shared" si="19"/>
        <v/>
      </c>
      <c r="AF63" s="6" t="str">
        <f t="shared" si="20"/>
        <v/>
      </c>
      <c r="AG63" s="6" t="str">
        <f t="shared" si="21"/>
        <v/>
      </c>
      <c r="AH63" s="12" t="str">
        <f t="shared" si="0"/>
        <v/>
      </c>
      <c r="AI63" s="6" t="str">
        <f t="shared" si="22"/>
        <v/>
      </c>
      <c r="AJ63" s="12">
        <f>'主翼(型紙出力)'!AE69/100</f>
        <v>0.82524271844660224</v>
      </c>
      <c r="AK63" s="12">
        <f>'主翼(型紙出力)'!AG69/100</f>
        <v>0.17475728155339781</v>
      </c>
      <c r="AL63" s="12">
        <f>'主翼(型紙出力)'!D69/1000</f>
        <v>1.0646990291262137</v>
      </c>
      <c r="AM63" s="12">
        <f t="shared" si="23"/>
        <v>14.487938156014856</v>
      </c>
      <c r="AN63" s="6">
        <f t="shared" si="24"/>
        <v>154.25293688749645</v>
      </c>
      <c r="AO63" s="6">
        <f t="shared" si="25"/>
        <v>29.121614306851271</v>
      </c>
      <c r="AP63" s="100">
        <f t="shared" si="26"/>
        <v>-1729.2065000000005</v>
      </c>
      <c r="AQ63" s="218">
        <v>1259262.8526156188</v>
      </c>
      <c r="AR63" s="100">
        <f t="shared" si="27"/>
        <v>-59.323542238825979</v>
      </c>
      <c r="AS63" s="100">
        <f t="shared" si="28"/>
        <v>-113.36728921839652</v>
      </c>
      <c r="AT63" s="6">
        <f t="shared" si="29"/>
        <v>15.253134408716159</v>
      </c>
      <c r="AU63" s="6" t="str">
        <f t="shared" si="30"/>
        <v/>
      </c>
      <c r="AV63" s="6">
        <f t="shared" si="31"/>
        <v>605.53227778990231</v>
      </c>
      <c r="AW63" s="6" t="str">
        <f t="shared" si="32"/>
        <v/>
      </c>
      <c r="AX63" s="12" t="str">
        <f t="shared" si="33"/>
        <v/>
      </c>
      <c r="AY63" s="6" t="str">
        <f t="shared" si="34"/>
        <v/>
      </c>
      <c r="AZ63" s="6">
        <f t="shared" si="35"/>
        <v>9.0236389950037126E-5</v>
      </c>
      <c r="BA63" s="6" t="str">
        <f t="shared" si="36"/>
        <v/>
      </c>
      <c r="BB63" s="12" t="str">
        <f t="shared" si="37"/>
        <v/>
      </c>
      <c r="BC63" s="6" t="str">
        <f t="shared" si="38"/>
        <v/>
      </c>
      <c r="BD63" s="6">
        <f t="shared" si="39"/>
        <v>0.16580936653319325</v>
      </c>
      <c r="BE63" s="6" t="str">
        <f t="shared" si="40"/>
        <v/>
      </c>
      <c r="BF63" s="12" t="str">
        <f t="shared" si="41"/>
        <v/>
      </c>
      <c r="BG63" s="12">
        <f t="shared" si="42"/>
        <v>0.16580936653319325</v>
      </c>
      <c r="BH63" s="23"/>
      <c r="BI63" s="23"/>
      <c r="BJ63" s="23"/>
    </row>
    <row r="64" spans="1:62">
      <c r="A64" s="22"/>
      <c r="B64" s="6"/>
      <c r="C64" s="100">
        <f>'主翼(型紙出力)'!B70</f>
        <v>19</v>
      </c>
      <c r="D64" s="227" t="str">
        <f t="shared" si="5"/>
        <v>1</v>
      </c>
      <c r="E64" s="12">
        <f>'主翼(型紙出力)'!C70</f>
        <v>2.8749999999999991</v>
      </c>
      <c r="F64" s="6">
        <f t="shared" si="6"/>
        <v>61.762532258064525</v>
      </c>
      <c r="G64" s="6">
        <f t="shared" si="6"/>
        <v>58.108134969700686</v>
      </c>
      <c r="H64" s="6">
        <f t="shared" si="7"/>
        <v>59.851532258064523</v>
      </c>
      <c r="I64" s="6">
        <f t="shared" si="7"/>
        <v>56.785134969700685</v>
      </c>
      <c r="J64" s="203">
        <v>1257303.2866612903</v>
      </c>
      <c r="K64" s="203">
        <v>1178318.365680295</v>
      </c>
      <c r="L64" s="203">
        <v>2398670.5605305601</v>
      </c>
      <c r="M64" s="204">
        <v>630.02333372056262</v>
      </c>
      <c r="N64" s="204">
        <v>12177.269232403731</v>
      </c>
      <c r="O64" s="196">
        <v>391.41264389198585</v>
      </c>
      <c r="P64" s="6">
        <f t="shared" si="1"/>
        <v>90.627460642858509</v>
      </c>
      <c r="Q64" s="12">
        <f t="shared" si="2"/>
        <v>14.41495437773508</v>
      </c>
      <c r="R64" s="96">
        <f t="shared" si="8"/>
        <v>113946.20412803274</v>
      </c>
      <c r="S64" s="202">
        <f t="shared" si="9"/>
        <v>34576.726697264254</v>
      </c>
      <c r="T64" s="12" t="str">
        <f t="shared" si="3"/>
        <v/>
      </c>
      <c r="U64" s="12" t="str">
        <f t="shared" si="4"/>
        <v/>
      </c>
      <c r="V64" s="6" t="str">
        <f t="shared" si="10"/>
        <v/>
      </c>
      <c r="W64" s="6" t="str">
        <f t="shared" si="11"/>
        <v/>
      </c>
      <c r="X64" s="6">
        <f t="shared" si="12"/>
        <v>123.52506451612905</v>
      </c>
      <c r="Y64" s="6">
        <f t="shared" si="13"/>
        <v>116.21626993940137</v>
      </c>
      <c r="Z64" s="6">
        <f t="shared" si="14"/>
        <v>119.70306451612905</v>
      </c>
      <c r="AA64" s="6">
        <f t="shared" si="43"/>
        <v>113.57026993940137</v>
      </c>
      <c r="AB64" s="6" t="str">
        <f t="shared" si="16"/>
        <v/>
      </c>
      <c r="AC64" s="6" t="str">
        <f t="shared" si="17"/>
        <v/>
      </c>
      <c r="AD64" s="6" t="str">
        <f t="shared" si="18"/>
        <v/>
      </c>
      <c r="AE64" s="12" t="str">
        <f t="shared" si="19"/>
        <v/>
      </c>
      <c r="AF64" s="6" t="str">
        <f t="shared" si="20"/>
        <v/>
      </c>
      <c r="AG64" s="6" t="str">
        <f t="shared" si="21"/>
        <v/>
      </c>
      <c r="AH64" s="12" t="str">
        <f t="shared" si="0"/>
        <v/>
      </c>
      <c r="AI64" s="6" t="str">
        <f t="shared" si="22"/>
        <v/>
      </c>
      <c r="AJ64" s="12">
        <f>'主翼(型紙出力)'!AE70/100</f>
        <v>0.76699029126213614</v>
      </c>
      <c r="AK64" s="12">
        <f>'主翼(型紙出力)'!AG70/100</f>
        <v>0.23300970873786381</v>
      </c>
      <c r="AL64" s="12">
        <f>'主翼(型紙出力)'!D70/1000</f>
        <v>1.0529320388349517</v>
      </c>
      <c r="AM64" s="12">
        <f t="shared" si="23"/>
        <v>14.452808335314135</v>
      </c>
      <c r="AN64" s="6">
        <f t="shared" si="24"/>
        <v>152.17824947393098</v>
      </c>
      <c r="AO64" s="6">
        <f t="shared" si="25"/>
        <v>28.653184957801926</v>
      </c>
      <c r="AP64" s="100">
        <f t="shared" si="26"/>
        <v>-1729.2065000000005</v>
      </c>
      <c r="AQ64" s="218">
        <v>1213923.9141944591</v>
      </c>
      <c r="AR64" s="100">
        <f t="shared" si="27"/>
        <v>-58.709073134828891</v>
      </c>
      <c r="AS64" s="100">
        <f t="shared" si="28"/>
        <v>-112.1930387606581</v>
      </c>
      <c r="AT64" s="6">
        <f t="shared" si="29"/>
        <v>15.412778895212245</v>
      </c>
      <c r="AU64" s="6" t="str">
        <f t="shared" si="30"/>
        <v/>
      </c>
      <c r="AV64" s="6">
        <f t="shared" si="31"/>
        <v>597.61958821059341</v>
      </c>
      <c r="AW64" s="6" t="str">
        <f t="shared" si="32"/>
        <v/>
      </c>
      <c r="AX64" s="12" t="str">
        <f t="shared" si="33"/>
        <v/>
      </c>
      <c r="AY64" s="6" t="str">
        <f t="shared" si="34"/>
        <v/>
      </c>
      <c r="AZ64" s="6">
        <f t="shared" si="35"/>
        <v>8.9049486513140667E-5</v>
      </c>
      <c r="BA64" s="6" t="str">
        <f t="shared" si="36"/>
        <v/>
      </c>
      <c r="BB64" s="12" t="str">
        <f t="shared" si="37"/>
        <v/>
      </c>
      <c r="BC64" s="6" t="str">
        <f t="shared" si="38"/>
        <v/>
      </c>
      <c r="BD64" s="6">
        <f t="shared" si="39"/>
        <v>0.16362843146789599</v>
      </c>
      <c r="BE64" s="6" t="str">
        <f t="shared" si="40"/>
        <v/>
      </c>
      <c r="BF64" s="12" t="str">
        <f t="shared" si="41"/>
        <v/>
      </c>
      <c r="BG64" s="12">
        <f t="shared" si="42"/>
        <v>0.16362843146789599</v>
      </c>
      <c r="BH64" s="23"/>
      <c r="BI64" s="23"/>
      <c r="BJ64" s="23"/>
    </row>
    <row r="65" spans="1:62">
      <c r="A65" s="22"/>
      <c r="B65" s="6"/>
      <c r="C65" s="158">
        <f>'主翼(型紙出力)'!B71</f>
        <v>20</v>
      </c>
      <c r="D65" s="227" t="str">
        <f t="shared" si="5"/>
        <v>1</v>
      </c>
      <c r="E65" s="12">
        <f>'主翼(型紙出力)'!C71</f>
        <v>3.024999999999999</v>
      </c>
      <c r="F65" s="6">
        <f t="shared" si="6"/>
        <v>60.959403225806462</v>
      </c>
      <c r="G65" s="6">
        <f t="shared" si="6"/>
        <v>57.346152965660778</v>
      </c>
      <c r="H65" s="6">
        <f t="shared" si="7"/>
        <v>59.04840322580646</v>
      </c>
      <c r="I65" s="6">
        <f t="shared" si="7"/>
        <v>56.023152965660778</v>
      </c>
      <c r="J65" s="203">
        <v>1208122.5043016672</v>
      </c>
      <c r="K65" s="203">
        <v>1132022.5539640398</v>
      </c>
      <c r="L65" s="203">
        <v>2304646.8433171296</v>
      </c>
      <c r="M65" s="204">
        <v>621.68308966921643</v>
      </c>
      <c r="N65" s="204">
        <v>11856.862419081644</v>
      </c>
      <c r="O65" s="196">
        <v>386.22825686598986</v>
      </c>
      <c r="P65" s="6">
        <f t="shared" si="1"/>
        <v>90.627460642858509</v>
      </c>
      <c r="Q65" s="12">
        <f t="shared" si="2"/>
        <v>14.41495437773508</v>
      </c>
      <c r="R65" s="96">
        <f t="shared" si="8"/>
        <v>109489.07471035101</v>
      </c>
      <c r="S65" s="202">
        <f t="shared" si="9"/>
        <v>33221.37910320759</v>
      </c>
      <c r="T65" s="12" t="str">
        <f t="shared" si="3"/>
        <v/>
      </c>
      <c r="U65" s="12" t="str">
        <f t="shared" si="4"/>
        <v/>
      </c>
      <c r="V65" s="6" t="str">
        <f t="shared" si="10"/>
        <v/>
      </c>
      <c r="W65" s="6" t="str">
        <f t="shared" si="11"/>
        <v/>
      </c>
      <c r="X65" s="6">
        <f t="shared" si="12"/>
        <v>121.91880645161292</v>
      </c>
      <c r="Y65" s="6">
        <f t="shared" si="13"/>
        <v>114.69230593132156</v>
      </c>
      <c r="Z65" s="6">
        <f t="shared" si="14"/>
        <v>118.09680645161292</v>
      </c>
      <c r="AA65" s="6">
        <f t="shared" si="43"/>
        <v>112.04630593132156</v>
      </c>
      <c r="AB65" s="6" t="str">
        <f t="shared" si="16"/>
        <v/>
      </c>
      <c r="AC65" s="6" t="str">
        <f t="shared" si="17"/>
        <v/>
      </c>
      <c r="AD65" s="6" t="str">
        <f t="shared" si="18"/>
        <v/>
      </c>
      <c r="AE65" s="12" t="str">
        <f t="shared" si="19"/>
        <v/>
      </c>
      <c r="AF65" s="6" t="str">
        <f t="shared" si="20"/>
        <v/>
      </c>
      <c r="AG65" s="6" t="str">
        <f t="shared" si="21"/>
        <v/>
      </c>
      <c r="AH65" s="12" t="str">
        <f t="shared" si="0"/>
        <v/>
      </c>
      <c r="AI65" s="6" t="str">
        <f t="shared" si="22"/>
        <v/>
      </c>
      <c r="AJ65" s="12">
        <f>'主翼(型紙出力)'!AE71/100</f>
        <v>0.70873786407767025</v>
      </c>
      <c r="AK65" s="12">
        <f>'主翼(型紙出力)'!AG71/100</f>
        <v>0.2912621359223298</v>
      </c>
      <c r="AL65" s="12">
        <f>'主翼(型紙出力)'!D71/1000</f>
        <v>1.0411650485436894</v>
      </c>
      <c r="AM65" s="12">
        <f t="shared" si="23"/>
        <v>14.417678514613417</v>
      </c>
      <c r="AN65" s="6">
        <f t="shared" si="24"/>
        <v>150.11182950554786</v>
      </c>
      <c r="AO65" s="6">
        <f t="shared" si="25"/>
        <v>28.193023053934937</v>
      </c>
      <c r="AP65" s="100">
        <f t="shared" si="26"/>
        <v>-1729.2065000000005</v>
      </c>
      <c r="AQ65" s="218">
        <v>1169622.8794769286</v>
      </c>
      <c r="AR65" s="100">
        <f t="shared" si="27"/>
        <v>-58.091739720873825</v>
      </c>
      <c r="AS65" s="100">
        <f t="shared" si="28"/>
        <v>-111.01331460658996</v>
      </c>
      <c r="AT65" s="6">
        <f t="shared" si="29"/>
        <v>15.576568505570515</v>
      </c>
      <c r="AU65" s="6" t="str">
        <f t="shared" si="30"/>
        <v/>
      </c>
      <c r="AV65" s="6">
        <f t="shared" si="31"/>
        <v>589.70689863128302</v>
      </c>
      <c r="AW65" s="6" t="str">
        <f t="shared" si="32"/>
        <v/>
      </c>
      <c r="AX65" s="12" t="str">
        <f t="shared" si="33"/>
        <v/>
      </c>
      <c r="AY65" s="6" t="str">
        <f t="shared" si="34"/>
        <v/>
      </c>
      <c r="AZ65" s="6">
        <f t="shared" si="35"/>
        <v>8.7862583076244127E-5</v>
      </c>
      <c r="BA65" s="6" t="str">
        <f t="shared" si="36"/>
        <v/>
      </c>
      <c r="BB65" s="12" t="str">
        <f t="shared" si="37"/>
        <v/>
      </c>
      <c r="BC65" s="6" t="str">
        <f t="shared" si="38"/>
        <v/>
      </c>
      <c r="BD65" s="6">
        <f t="shared" si="39"/>
        <v>0.16144749640259862</v>
      </c>
      <c r="BE65" s="6" t="str">
        <f t="shared" si="40"/>
        <v/>
      </c>
      <c r="BF65" s="12" t="str">
        <f t="shared" si="41"/>
        <v/>
      </c>
      <c r="BG65" s="12">
        <f t="shared" si="42"/>
        <v>0.16144749640259862</v>
      </c>
      <c r="BH65" s="23"/>
      <c r="BI65" s="23"/>
      <c r="BJ65" s="23"/>
    </row>
    <row r="66" spans="1:62">
      <c r="A66" s="22"/>
      <c r="B66" s="6"/>
      <c r="C66" s="100">
        <f>'主翼(型紙出力)'!B72</f>
        <v>21</v>
      </c>
      <c r="D66" s="227" t="str">
        <f t="shared" si="5"/>
        <v>1</v>
      </c>
      <c r="E66" s="12">
        <f>'主翼(型紙出力)'!C72</f>
        <v>3.1749999999999989</v>
      </c>
      <c r="F66" s="6">
        <f t="shared" si="6"/>
        <v>60.156274193548398</v>
      </c>
      <c r="G66" s="6">
        <f t="shared" si="6"/>
        <v>56.58417096162087</v>
      </c>
      <c r="H66" s="6">
        <f t="shared" si="7"/>
        <v>58.245274193548397</v>
      </c>
      <c r="I66" s="6">
        <f t="shared" si="7"/>
        <v>55.26117096162087</v>
      </c>
      <c r="J66" s="203">
        <v>1160241.2462314065</v>
      </c>
      <c r="K66" s="203">
        <v>1086955.538707582</v>
      </c>
      <c r="L66" s="203">
        <v>2213112.8253327385</v>
      </c>
      <c r="M66" s="204">
        <v>613.34284522861674</v>
      </c>
      <c r="N66" s="204">
        <v>11540.727211192234</v>
      </c>
      <c r="O66" s="196">
        <v>381.04387036287523</v>
      </c>
      <c r="P66" s="6">
        <f t="shared" si="1"/>
        <v>90.627460642858509</v>
      </c>
      <c r="Q66" s="12">
        <f t="shared" si="2"/>
        <v>14.41495437773508</v>
      </c>
      <c r="R66" s="96">
        <f t="shared" si="8"/>
        <v>105149.71787905789</v>
      </c>
      <c r="S66" s="202">
        <f t="shared" si="9"/>
        <v>31901.92040995181</v>
      </c>
      <c r="T66" s="12" t="str">
        <f t="shared" si="3"/>
        <v/>
      </c>
      <c r="U66" s="12" t="str">
        <f t="shared" si="4"/>
        <v/>
      </c>
      <c r="V66" s="6" t="str">
        <f t="shared" si="10"/>
        <v/>
      </c>
      <c r="W66" s="6" t="str">
        <f t="shared" si="11"/>
        <v/>
      </c>
      <c r="X66" s="6">
        <f t="shared" si="12"/>
        <v>120.3125483870968</v>
      </c>
      <c r="Y66" s="6">
        <f t="shared" si="13"/>
        <v>113.16834192324174</v>
      </c>
      <c r="Z66" s="6">
        <f t="shared" si="14"/>
        <v>116.49054838709679</v>
      </c>
      <c r="AA66" s="6">
        <f t="shared" si="43"/>
        <v>110.52234192324174</v>
      </c>
      <c r="AB66" s="6" t="str">
        <f t="shared" si="16"/>
        <v/>
      </c>
      <c r="AC66" s="6" t="str">
        <f t="shared" si="17"/>
        <v/>
      </c>
      <c r="AD66" s="6" t="str">
        <f t="shared" si="18"/>
        <v/>
      </c>
      <c r="AE66" s="12" t="str">
        <f t="shared" si="19"/>
        <v/>
      </c>
      <c r="AF66" s="6" t="str">
        <f t="shared" si="20"/>
        <v/>
      </c>
      <c r="AG66" s="6" t="str">
        <f t="shared" si="21"/>
        <v/>
      </c>
      <c r="AH66" s="12" t="str">
        <f t="shared" si="0"/>
        <v/>
      </c>
      <c r="AI66" s="6" t="str">
        <f t="shared" si="22"/>
        <v/>
      </c>
      <c r="AJ66" s="12">
        <f>'主翼(型紙出力)'!AE72/100</f>
        <v>0.65048543689320415</v>
      </c>
      <c r="AK66" s="12">
        <f>'主翼(型紙出力)'!AG72/100</f>
        <v>0.34951456310679579</v>
      </c>
      <c r="AL66" s="12">
        <f>'主翼(型紙出力)'!D72/1000</f>
        <v>1.0293980582524274</v>
      </c>
      <c r="AM66" s="12">
        <f t="shared" si="23"/>
        <v>14.382548693912696</v>
      </c>
      <c r="AN66" s="6">
        <f t="shared" si="24"/>
        <v>148.05367698234718</v>
      </c>
      <c r="AO66" s="6">
        <f t="shared" si="25"/>
        <v>27.741128595250387</v>
      </c>
      <c r="AP66" s="100">
        <f t="shared" si="26"/>
        <v>-1729.2065000000005</v>
      </c>
      <c r="AQ66" s="218">
        <v>1126353.6281962523</v>
      </c>
      <c r="AR66" s="100">
        <f t="shared" si="27"/>
        <v>-57.471674120806924</v>
      </c>
      <c r="AS66" s="100">
        <f t="shared" si="28"/>
        <v>-109.82836924486212</v>
      </c>
      <c r="AT66" s="6">
        <f t="shared" si="29"/>
        <v>15.744625108151595</v>
      </c>
      <c r="AU66" s="6" t="str">
        <f t="shared" si="30"/>
        <v/>
      </c>
      <c r="AV66" s="6">
        <f t="shared" si="31"/>
        <v>581.79420905197276</v>
      </c>
      <c r="AW66" s="6" t="str">
        <f t="shared" si="32"/>
        <v/>
      </c>
      <c r="AX66" s="12" t="str">
        <f t="shared" si="33"/>
        <v/>
      </c>
      <c r="AY66" s="6" t="str">
        <f t="shared" si="34"/>
        <v/>
      </c>
      <c r="AZ66" s="6">
        <f t="shared" si="35"/>
        <v>8.6675679639347668E-5</v>
      </c>
      <c r="BA66" s="6" t="str">
        <f t="shared" si="36"/>
        <v/>
      </c>
      <c r="BB66" s="12" t="str">
        <f t="shared" si="37"/>
        <v/>
      </c>
      <c r="BC66" s="6" t="str">
        <f t="shared" si="38"/>
        <v/>
      </c>
      <c r="BD66" s="6">
        <f t="shared" si="39"/>
        <v>0.15926656133730135</v>
      </c>
      <c r="BE66" s="6" t="str">
        <f t="shared" si="40"/>
        <v/>
      </c>
      <c r="BF66" s="12" t="str">
        <f t="shared" si="41"/>
        <v/>
      </c>
      <c r="BG66" s="12">
        <f t="shared" si="42"/>
        <v>0.15926656133730135</v>
      </c>
      <c r="BH66" s="23"/>
      <c r="BI66" s="23"/>
      <c r="BJ66" s="23"/>
    </row>
    <row r="67" spans="1:62">
      <c r="A67" s="22"/>
      <c r="B67" s="6"/>
      <c r="C67" s="158">
        <f>'主翼(型紙出力)'!B73</f>
        <v>22</v>
      </c>
      <c r="D67" s="227" t="str">
        <f t="shared" si="5"/>
        <v>1</v>
      </c>
      <c r="E67" s="12">
        <f>'主翼(型紙出力)'!C73</f>
        <v>3.3249999999999988</v>
      </c>
      <c r="F67" s="6">
        <f t="shared" si="6"/>
        <v>59.353145161290335</v>
      </c>
      <c r="G67" s="6">
        <f t="shared" si="6"/>
        <v>55.822188957580963</v>
      </c>
      <c r="H67" s="6">
        <f t="shared" si="7"/>
        <v>57.442145161290334</v>
      </c>
      <c r="I67" s="6">
        <f t="shared" si="7"/>
        <v>54.499188957580962</v>
      </c>
      <c r="J67" s="203">
        <v>1113642.1126201248</v>
      </c>
      <c r="K67" s="203">
        <v>1043100.7920693381</v>
      </c>
      <c r="L67" s="203">
        <v>2124035.0995928086</v>
      </c>
      <c r="M67" s="204">
        <v>605.00260038309102</v>
      </c>
      <c r="N67" s="204">
        <v>11228.863608735497</v>
      </c>
      <c r="O67" s="196">
        <v>375.85948440426745</v>
      </c>
      <c r="P67" s="6">
        <f t="shared" si="1"/>
        <v>90.627460642858509</v>
      </c>
      <c r="Q67" s="12">
        <f t="shared" si="2"/>
        <v>14.41495437773508</v>
      </c>
      <c r="R67" s="96">
        <f t="shared" si="8"/>
        <v>100926.55673171015</v>
      </c>
      <c r="S67" s="202">
        <f t="shared" si="9"/>
        <v>30617.869057338325</v>
      </c>
      <c r="T67" s="12" t="str">
        <f t="shared" si="3"/>
        <v/>
      </c>
      <c r="U67" s="12" t="str">
        <f t="shared" si="4"/>
        <v/>
      </c>
      <c r="V67" s="6" t="str">
        <f t="shared" si="10"/>
        <v/>
      </c>
      <c r="W67" s="6" t="str">
        <f t="shared" si="11"/>
        <v/>
      </c>
      <c r="X67" s="6">
        <f t="shared" si="12"/>
        <v>118.70629032258067</v>
      </c>
      <c r="Y67" s="6">
        <f t="shared" si="13"/>
        <v>111.64437791516193</v>
      </c>
      <c r="Z67" s="6">
        <f t="shared" si="14"/>
        <v>114.88429032258067</v>
      </c>
      <c r="AA67" s="6">
        <f t="shared" si="43"/>
        <v>108.99837791516192</v>
      </c>
      <c r="AB67" s="6" t="str">
        <f t="shared" si="16"/>
        <v/>
      </c>
      <c r="AC67" s="6" t="str">
        <f t="shared" si="17"/>
        <v/>
      </c>
      <c r="AD67" s="6" t="str">
        <f t="shared" si="18"/>
        <v/>
      </c>
      <c r="AE67" s="12" t="str">
        <f t="shared" si="19"/>
        <v/>
      </c>
      <c r="AF67" s="6" t="str">
        <f t="shared" si="20"/>
        <v/>
      </c>
      <c r="AG67" s="6" t="str">
        <f t="shared" si="21"/>
        <v/>
      </c>
      <c r="AH67" s="12" t="str">
        <f t="shared" si="0"/>
        <v/>
      </c>
      <c r="AI67" s="6" t="str">
        <f t="shared" si="22"/>
        <v/>
      </c>
      <c r="AJ67" s="12">
        <f>'主翼(型紙出力)'!AE73/100</f>
        <v>0.59223300970873827</v>
      </c>
      <c r="AK67" s="12">
        <f>'主翼(型紙出力)'!AG73/100</f>
        <v>0.40776699029126179</v>
      </c>
      <c r="AL67" s="12">
        <f>'主翼(型紙出力)'!D73/1000</f>
        <v>1.0176310679611653</v>
      </c>
      <c r="AM67" s="12">
        <f t="shared" si="23"/>
        <v>14.347418873211979</v>
      </c>
      <c r="AN67" s="6">
        <f t="shared" si="24"/>
        <v>146.00379190432886</v>
      </c>
      <c r="AO67" s="6">
        <f t="shared" si="25"/>
        <v>27.297501581748193</v>
      </c>
      <c r="AP67" s="100">
        <f t="shared" si="26"/>
        <v>-1729.2065000000005</v>
      </c>
      <c r="AQ67" s="218">
        <v>1084109.5100646091</v>
      </c>
      <c r="AR67" s="100">
        <f t="shared" si="27"/>
        <v>-56.849001817811896</v>
      </c>
      <c r="AS67" s="100">
        <f t="shared" si="28"/>
        <v>-108.63844247383861</v>
      </c>
      <c r="AT67" s="6">
        <f t="shared" si="29"/>
        <v>15.917077423274117</v>
      </c>
      <c r="AU67" s="6" t="str">
        <f t="shared" si="30"/>
        <v/>
      </c>
      <c r="AV67" s="6">
        <f t="shared" si="31"/>
        <v>573.88151947266374</v>
      </c>
      <c r="AW67" s="6" t="str">
        <f t="shared" si="32"/>
        <v/>
      </c>
      <c r="AX67" s="12" t="str">
        <f t="shared" si="33"/>
        <v/>
      </c>
      <c r="AY67" s="6" t="str">
        <f t="shared" si="34"/>
        <v/>
      </c>
      <c r="AZ67" s="6">
        <f t="shared" si="35"/>
        <v>8.5488776202451359E-5</v>
      </c>
      <c r="BA67" s="6" t="str">
        <f t="shared" si="36"/>
        <v/>
      </c>
      <c r="BB67" s="12" t="str">
        <f t="shared" si="37"/>
        <v/>
      </c>
      <c r="BC67" s="6" t="str">
        <f t="shared" si="38"/>
        <v/>
      </c>
      <c r="BD67" s="6">
        <f t="shared" si="39"/>
        <v>0.1570856262720044</v>
      </c>
      <c r="BE67" s="6" t="str">
        <f t="shared" si="40"/>
        <v/>
      </c>
      <c r="BF67" s="12" t="str">
        <f t="shared" si="41"/>
        <v/>
      </c>
      <c r="BG67" s="12">
        <f t="shared" si="42"/>
        <v>0.1570856262720044</v>
      </c>
      <c r="BH67" s="23"/>
      <c r="BI67" s="23"/>
      <c r="BJ67" s="23"/>
    </row>
    <row r="68" spans="1:62">
      <c r="A68" s="22"/>
      <c r="B68" s="6"/>
      <c r="C68" s="100">
        <f>'主翼(型紙出力)'!B74</f>
        <v>23</v>
      </c>
      <c r="D68" s="227" t="str">
        <f t="shared" si="5"/>
        <v>1</v>
      </c>
      <c r="E68" s="12">
        <f>'主翼(型紙出力)'!C74</f>
        <v>3.4749999999999988</v>
      </c>
      <c r="F68" s="6">
        <f t="shared" si="6"/>
        <v>58.550016129032272</v>
      </c>
      <c r="G68" s="6">
        <f t="shared" si="6"/>
        <v>55.060206953541055</v>
      </c>
      <c r="H68" s="6">
        <f t="shared" si="7"/>
        <v>56.639016129032271</v>
      </c>
      <c r="I68" s="6">
        <f t="shared" si="7"/>
        <v>53.737206953541055</v>
      </c>
      <c r="J68" s="203">
        <v>1068307.7036374258</v>
      </c>
      <c r="K68" s="203">
        <v>1000441.786207618</v>
      </c>
      <c r="L68" s="203">
        <v>2037380.2591128626</v>
      </c>
      <c r="M68" s="204">
        <v>596.66235511613377</v>
      </c>
      <c r="N68" s="204">
        <v>10921.271611711434</v>
      </c>
      <c r="O68" s="196">
        <v>370.67509901301207</v>
      </c>
      <c r="P68" s="6">
        <f t="shared" si="1"/>
        <v>90.627460642858509</v>
      </c>
      <c r="Q68" s="12">
        <f t="shared" si="2"/>
        <v>14.41495437773508</v>
      </c>
      <c r="R68" s="96">
        <f t="shared" si="8"/>
        <v>96818.014365863361</v>
      </c>
      <c r="S68" s="202">
        <f t="shared" si="9"/>
        <v>29368.74348520999</v>
      </c>
      <c r="T68" s="12" t="str">
        <f t="shared" si="3"/>
        <v/>
      </c>
      <c r="U68" s="12" t="str">
        <f t="shared" si="4"/>
        <v/>
      </c>
      <c r="V68" s="6" t="str">
        <f t="shared" si="10"/>
        <v/>
      </c>
      <c r="W68" s="6" t="str">
        <f t="shared" si="11"/>
        <v/>
      </c>
      <c r="X68" s="6">
        <f t="shared" si="12"/>
        <v>117.10003225806454</v>
      </c>
      <c r="Y68" s="6">
        <f t="shared" si="13"/>
        <v>110.12041390708211</v>
      </c>
      <c r="Z68" s="6">
        <f t="shared" si="14"/>
        <v>113.27803225806454</v>
      </c>
      <c r="AA68" s="6">
        <f t="shared" si="43"/>
        <v>107.47441390708211</v>
      </c>
      <c r="AB68" s="6" t="str">
        <f t="shared" si="16"/>
        <v/>
      </c>
      <c r="AC68" s="6" t="str">
        <f t="shared" si="17"/>
        <v/>
      </c>
      <c r="AD68" s="6" t="str">
        <f t="shared" si="18"/>
        <v/>
      </c>
      <c r="AE68" s="12" t="str">
        <f t="shared" si="19"/>
        <v/>
      </c>
      <c r="AF68" s="6" t="str">
        <f t="shared" si="20"/>
        <v/>
      </c>
      <c r="AG68" s="6" t="str">
        <f t="shared" si="21"/>
        <v/>
      </c>
      <c r="AH68" s="12" t="str">
        <f t="shared" si="0"/>
        <v/>
      </c>
      <c r="AI68" s="6" t="str">
        <f t="shared" si="22"/>
        <v/>
      </c>
      <c r="AJ68" s="12">
        <f>'主翼(型紙出力)'!AE74/100</f>
        <v>0.53398058252427216</v>
      </c>
      <c r="AK68" s="12">
        <f>'主翼(型紙出力)'!AG74/100</f>
        <v>0.46601941747572778</v>
      </c>
      <c r="AL68" s="12">
        <f>'主翼(型紙出力)'!D74/1000</f>
        <v>1.005864077669903</v>
      </c>
      <c r="AM68" s="12">
        <f t="shared" si="23"/>
        <v>14.312289052511257</v>
      </c>
      <c r="AN68" s="6">
        <f t="shared" si="24"/>
        <v>143.96217427149284</v>
      </c>
      <c r="AO68" s="6">
        <f t="shared" si="25"/>
        <v>26.862142013428297</v>
      </c>
      <c r="AP68" s="100">
        <f t="shared" si="26"/>
        <v>-1729.2065000000005</v>
      </c>
      <c r="AQ68" s="218">
        <v>1042883.6278129816</v>
      </c>
      <c r="AR68" s="100">
        <f t="shared" si="27"/>
        <v>-56.223855466237261</v>
      </c>
      <c r="AS68" s="100">
        <f t="shared" si="28"/>
        <v>-107.44378779597949</v>
      </c>
      <c r="AT68" s="6">
        <f t="shared" si="29"/>
        <v>16.094057511110073</v>
      </c>
      <c r="AU68" s="6" t="str">
        <f t="shared" si="30"/>
        <v/>
      </c>
      <c r="AV68" s="6">
        <f t="shared" si="31"/>
        <v>565.96882989335484</v>
      </c>
      <c r="AW68" s="6" t="str">
        <f t="shared" si="32"/>
        <v/>
      </c>
      <c r="AX68" s="12" t="str">
        <f t="shared" si="33"/>
        <v/>
      </c>
      <c r="AY68" s="6" t="str">
        <f t="shared" si="34"/>
        <v/>
      </c>
      <c r="AZ68" s="6">
        <f t="shared" si="35"/>
        <v>8.4301872765554886E-5</v>
      </c>
      <c r="BA68" s="6" t="str">
        <f t="shared" si="36"/>
        <v/>
      </c>
      <c r="BB68" s="12" t="str">
        <f t="shared" si="37"/>
        <v/>
      </c>
      <c r="BC68" s="6" t="str">
        <f t="shared" si="38"/>
        <v/>
      </c>
      <c r="BD68" s="6">
        <f t="shared" si="39"/>
        <v>0.15490469120670711</v>
      </c>
      <c r="BE68" s="6" t="str">
        <f t="shared" si="40"/>
        <v/>
      </c>
      <c r="BF68" s="12" t="str">
        <f t="shared" si="41"/>
        <v/>
      </c>
      <c r="BG68" s="12">
        <f t="shared" si="42"/>
        <v>0.15490469120670711</v>
      </c>
      <c r="BH68" s="23"/>
      <c r="BI68" s="23"/>
      <c r="BJ68" s="23"/>
    </row>
    <row r="69" spans="1:62">
      <c r="A69" s="22"/>
      <c r="B69" s="6"/>
      <c r="C69" s="158">
        <f>'主翼(型紙出力)'!B75</f>
        <v>24</v>
      </c>
      <c r="D69" s="227" t="str">
        <f t="shared" si="5"/>
        <v>1</v>
      </c>
      <c r="E69" s="12">
        <f>'主翼(型紙出力)'!C75</f>
        <v>3.6249999999999987</v>
      </c>
      <c r="F69" s="6">
        <f t="shared" si="6"/>
        <v>57.746887096774202</v>
      </c>
      <c r="G69" s="6">
        <f t="shared" si="6"/>
        <v>54.29822494950114</v>
      </c>
      <c r="H69" s="6">
        <f t="shared" si="7"/>
        <v>55.835887096774201</v>
      </c>
      <c r="I69" s="6">
        <f t="shared" si="7"/>
        <v>52.97522494950114</v>
      </c>
      <c r="J69" s="203">
        <v>1024220.6194528994</v>
      </c>
      <c r="K69" s="203">
        <v>958961.99328080995</v>
      </c>
      <c r="L69" s="203">
        <v>1953114.8969083056</v>
      </c>
      <c r="M69" s="204">
        <v>588.32210941031758</v>
      </c>
      <c r="N69" s="204">
        <v>10617.951220120045</v>
      </c>
      <c r="O69" s="196">
        <v>365.49071421324487</v>
      </c>
      <c r="P69" s="6">
        <f t="shared" si="1"/>
        <v>90.627460642858509</v>
      </c>
      <c r="Q69" s="12">
        <f t="shared" si="2"/>
        <v>14.41495437773508</v>
      </c>
      <c r="R69" s="96">
        <f t="shared" si="8"/>
        <v>92822.513879071805</v>
      </c>
      <c r="S69" s="202">
        <f t="shared" si="9"/>
        <v>28154.062133407981</v>
      </c>
      <c r="T69" s="12" t="str">
        <f t="shared" si="3"/>
        <v/>
      </c>
      <c r="U69" s="12" t="str">
        <f t="shared" si="4"/>
        <v/>
      </c>
      <c r="V69" s="6" t="str">
        <f t="shared" si="10"/>
        <v/>
      </c>
      <c r="W69" s="6" t="str">
        <f t="shared" si="11"/>
        <v/>
      </c>
      <c r="X69" s="6">
        <f t="shared" si="12"/>
        <v>115.4937741935484</v>
      </c>
      <c r="Y69" s="6">
        <f t="shared" si="13"/>
        <v>108.59644989900228</v>
      </c>
      <c r="Z69" s="6">
        <f t="shared" si="14"/>
        <v>111.6717741935484</v>
      </c>
      <c r="AA69" s="6">
        <f t="shared" si="43"/>
        <v>105.95044989900228</v>
      </c>
      <c r="AB69" s="6" t="str">
        <f t="shared" si="16"/>
        <v/>
      </c>
      <c r="AC69" s="6" t="str">
        <f t="shared" si="17"/>
        <v/>
      </c>
      <c r="AD69" s="6" t="str">
        <f t="shared" si="18"/>
        <v/>
      </c>
      <c r="AE69" s="12" t="str">
        <f t="shared" si="19"/>
        <v/>
      </c>
      <c r="AF69" s="6" t="str">
        <f t="shared" si="20"/>
        <v/>
      </c>
      <c r="AG69" s="6" t="str">
        <f t="shared" si="21"/>
        <v/>
      </c>
      <c r="AH69" s="12" t="str">
        <f t="shared" si="0"/>
        <v/>
      </c>
      <c r="AI69" s="6" t="str">
        <f t="shared" si="22"/>
        <v/>
      </c>
      <c r="AJ69" s="12">
        <f>'主翼(型紙出力)'!AE75/100</f>
        <v>0.47572815533980628</v>
      </c>
      <c r="AK69" s="12">
        <f>'主翼(型紙出力)'!AG75/100</f>
        <v>0.52427184466019372</v>
      </c>
      <c r="AL69" s="12">
        <f>'主翼(型紙出力)'!D75/1000</f>
        <v>0.994097087378641</v>
      </c>
      <c r="AM69" s="12">
        <f t="shared" si="23"/>
        <v>14.277159231810536</v>
      </c>
      <c r="AN69" s="6">
        <f t="shared" si="24"/>
        <v>141.92882408383929</v>
      </c>
      <c r="AO69" s="6">
        <f t="shared" si="25"/>
        <v>26.435049890290884</v>
      </c>
      <c r="AP69" s="100">
        <f t="shared" si="26"/>
        <v>-1729.2065000000005</v>
      </c>
      <c r="AQ69" s="218">
        <v>1002668.7156586868</v>
      </c>
      <c r="AR69" s="100">
        <f t="shared" si="27"/>
        <v>-55.596368672224848</v>
      </c>
      <c r="AS69" s="100">
        <f t="shared" si="28"/>
        <v>-106.24466053262177</v>
      </c>
      <c r="AT69" s="6">
        <f t="shared" si="29"/>
        <v>16.275702621959606</v>
      </c>
      <c r="AU69" s="6" t="str">
        <f t="shared" si="30"/>
        <v/>
      </c>
      <c r="AV69" s="6">
        <f t="shared" si="31"/>
        <v>558.05614031404457</v>
      </c>
      <c r="AW69" s="6" t="str">
        <f t="shared" si="32"/>
        <v/>
      </c>
      <c r="AX69" s="12" t="str">
        <f t="shared" si="33"/>
        <v/>
      </c>
      <c r="AY69" s="6" t="str">
        <f t="shared" si="34"/>
        <v/>
      </c>
      <c r="AZ69" s="6">
        <f t="shared" si="35"/>
        <v>8.3114969328658468E-5</v>
      </c>
      <c r="BA69" s="6" t="str">
        <f t="shared" si="36"/>
        <v/>
      </c>
      <c r="BB69" s="12" t="str">
        <f t="shared" si="37"/>
        <v/>
      </c>
      <c r="BC69" s="6" t="str">
        <f t="shared" si="38"/>
        <v/>
      </c>
      <c r="BD69" s="6">
        <f t="shared" si="39"/>
        <v>0.15272375614140996</v>
      </c>
      <c r="BE69" s="6" t="str">
        <f t="shared" si="40"/>
        <v/>
      </c>
      <c r="BF69" s="12" t="str">
        <f t="shared" si="41"/>
        <v/>
      </c>
      <c r="BG69" s="12">
        <f t="shared" si="42"/>
        <v>0.15272375614140996</v>
      </c>
      <c r="BH69" s="23"/>
      <c r="BI69" s="23"/>
      <c r="BJ69" s="23"/>
    </row>
    <row r="70" spans="1:62">
      <c r="A70" s="22"/>
      <c r="B70" s="6"/>
      <c r="C70" s="100">
        <f>'主翼(型紙出力)'!B76</f>
        <v>25</v>
      </c>
      <c r="D70" s="227" t="str">
        <f t="shared" si="5"/>
        <v>1</v>
      </c>
      <c r="E70" s="12">
        <f>'主翼(型紙出力)'!C76</f>
        <v>3.7749999999999986</v>
      </c>
      <c r="F70" s="6">
        <f t="shared" si="6"/>
        <v>56.943758064516146</v>
      </c>
      <c r="G70" s="6">
        <f t="shared" si="6"/>
        <v>53.536242945461233</v>
      </c>
      <c r="H70" s="6">
        <f t="shared" si="7"/>
        <v>55.032758064516145</v>
      </c>
      <c r="I70" s="6">
        <f t="shared" si="7"/>
        <v>52.213242945461232</v>
      </c>
      <c r="J70" s="203">
        <v>981363.4602361467</v>
      </c>
      <c r="K70" s="203">
        <v>918644.88544726511</v>
      </c>
      <c r="L70" s="203">
        <v>1871205.6059946299</v>
      </c>
      <c r="M70" s="204">
        <v>579.98186324727624</v>
      </c>
      <c r="N70" s="204">
        <v>10318.902433961333</v>
      </c>
      <c r="O70" s="196">
        <v>360.30633003048416</v>
      </c>
      <c r="P70" s="6">
        <f t="shared" si="1"/>
        <v>90.627460642858509</v>
      </c>
      <c r="Q70" s="12">
        <f t="shared" si="2"/>
        <v>14.41495437773508</v>
      </c>
      <c r="R70" s="96">
        <f t="shared" si="8"/>
        <v>88938.478368890821</v>
      </c>
      <c r="S70" s="202">
        <f t="shared" si="9"/>
        <v>26973.343441774716</v>
      </c>
      <c r="T70" s="12" t="str">
        <f t="shared" si="3"/>
        <v/>
      </c>
      <c r="U70" s="12" t="str">
        <f t="shared" si="4"/>
        <v/>
      </c>
      <c r="V70" s="6" t="str">
        <f t="shared" si="10"/>
        <v/>
      </c>
      <c r="W70" s="6" t="str">
        <f t="shared" si="11"/>
        <v/>
      </c>
      <c r="X70" s="6">
        <f t="shared" si="12"/>
        <v>113.88751612903229</v>
      </c>
      <c r="Y70" s="6">
        <f t="shared" si="13"/>
        <v>107.07248589092247</v>
      </c>
      <c r="Z70" s="6">
        <f t="shared" si="14"/>
        <v>110.06551612903229</v>
      </c>
      <c r="AA70" s="6">
        <f t="shared" si="43"/>
        <v>104.42648589092246</v>
      </c>
      <c r="AB70" s="6" t="str">
        <f t="shared" si="16"/>
        <v/>
      </c>
      <c r="AC70" s="6" t="str">
        <f t="shared" si="17"/>
        <v/>
      </c>
      <c r="AD70" s="6" t="str">
        <f t="shared" si="18"/>
        <v/>
      </c>
      <c r="AE70" s="12" t="str">
        <f t="shared" si="19"/>
        <v/>
      </c>
      <c r="AF70" s="6" t="str">
        <f t="shared" si="20"/>
        <v/>
      </c>
      <c r="AG70" s="6" t="str">
        <f t="shared" si="21"/>
        <v/>
      </c>
      <c r="AH70" s="12" t="str">
        <f t="shared" si="0"/>
        <v/>
      </c>
      <c r="AI70" s="6" t="str">
        <f t="shared" si="22"/>
        <v/>
      </c>
      <c r="AJ70" s="12">
        <f>'主翼(型紙出力)'!AE76/100</f>
        <v>0.41747572815534029</v>
      </c>
      <c r="AK70" s="12">
        <f>'主翼(型紙出力)'!AG76/100</f>
        <v>0.58252427184465971</v>
      </c>
      <c r="AL70" s="12">
        <f>'主翼(型紙出力)'!D76/1000</f>
        <v>0.98233009708737884</v>
      </c>
      <c r="AM70" s="12">
        <f t="shared" si="23"/>
        <v>14.242029411109817</v>
      </c>
      <c r="AN70" s="6">
        <f t="shared" si="24"/>
        <v>139.90374134136809</v>
      </c>
      <c r="AO70" s="6">
        <f t="shared" si="25"/>
        <v>26.016225212335797</v>
      </c>
      <c r="AP70" s="100">
        <f t="shared" si="26"/>
        <v>-1729.2065000000005</v>
      </c>
      <c r="AQ70" s="218">
        <v>963457.27922231017</v>
      </c>
      <c r="AR70" s="100">
        <f t="shared" si="27"/>
        <v>-54.966683567222979</v>
      </c>
      <c r="AS70" s="100">
        <f t="shared" si="28"/>
        <v>-105.04133229696319</v>
      </c>
      <c r="AT70" s="6">
        <f t="shared" si="29"/>
        <v>16.462153156162824</v>
      </c>
      <c r="AU70" s="6" t="str">
        <f t="shared" si="30"/>
        <v/>
      </c>
      <c r="AV70" s="6">
        <f t="shared" si="31"/>
        <v>550.14345073473567</v>
      </c>
      <c r="AW70" s="6" t="str">
        <f t="shared" si="32"/>
        <v/>
      </c>
      <c r="AX70" s="12" t="str">
        <f t="shared" si="33"/>
        <v/>
      </c>
      <c r="AY70" s="6" t="str">
        <f t="shared" si="34"/>
        <v/>
      </c>
      <c r="AZ70" s="6">
        <f t="shared" si="35"/>
        <v>8.1928065891762023E-5</v>
      </c>
      <c r="BA70" s="6" t="str">
        <f t="shared" si="36"/>
        <v/>
      </c>
      <c r="BB70" s="12" t="str">
        <f t="shared" si="37"/>
        <v/>
      </c>
      <c r="BC70" s="6" t="str">
        <f t="shared" si="38"/>
        <v/>
      </c>
      <c r="BD70" s="6">
        <f t="shared" si="39"/>
        <v>0.15054282107611272</v>
      </c>
      <c r="BE70" s="6" t="str">
        <f t="shared" si="40"/>
        <v/>
      </c>
      <c r="BF70" s="12" t="str">
        <f t="shared" si="41"/>
        <v/>
      </c>
      <c r="BG70" s="12">
        <f t="shared" si="42"/>
        <v>0.15054282107611272</v>
      </c>
      <c r="BH70" s="23"/>
      <c r="BI70" s="23"/>
      <c r="BJ70" s="23"/>
    </row>
    <row r="71" spans="1:62">
      <c r="A71" s="22"/>
      <c r="B71" s="6"/>
      <c r="C71" s="158">
        <f>'主翼(型紙出力)'!B77</f>
        <v>26</v>
      </c>
      <c r="D71" s="227" t="str">
        <f t="shared" si="5"/>
        <v>1</v>
      </c>
      <c r="E71" s="12">
        <f>'主翼(型紙出力)'!C77</f>
        <v>3.9249999999999985</v>
      </c>
      <c r="F71" s="6">
        <f t="shared" si="6"/>
        <v>56.140629032258076</v>
      </c>
      <c r="G71" s="6">
        <f t="shared" si="6"/>
        <v>52.774260941421318</v>
      </c>
      <c r="H71" s="6">
        <f t="shared" si="7"/>
        <v>54.229629032258075</v>
      </c>
      <c r="I71" s="6">
        <f t="shared" si="7"/>
        <v>51.451260941421317</v>
      </c>
      <c r="J71" s="203">
        <v>939718.82615678618</v>
      </c>
      <c r="K71" s="203">
        <v>879473.93486535875</v>
      </c>
      <c r="L71" s="203">
        <v>1791618.979387308</v>
      </c>
      <c r="M71" s="204">
        <v>571.64161660755008</v>
      </c>
      <c r="N71" s="204">
        <v>10024.125253235296</v>
      </c>
      <c r="O71" s="196">
        <v>355.12194649175763</v>
      </c>
      <c r="P71" s="6">
        <f t="shared" si="1"/>
        <v>90.627460642858509</v>
      </c>
      <c r="Q71" s="12">
        <f t="shared" si="2"/>
        <v>14.41495437773508</v>
      </c>
      <c r="R71" s="96">
        <f t="shared" si="8"/>
        <v>85164.330932877332</v>
      </c>
      <c r="S71" s="202">
        <f t="shared" si="9"/>
        <v>25826.105850152333</v>
      </c>
      <c r="T71" s="12" t="str">
        <f t="shared" si="3"/>
        <v/>
      </c>
      <c r="U71" s="12" t="str">
        <f t="shared" si="4"/>
        <v/>
      </c>
      <c r="V71" s="6" t="str">
        <f t="shared" si="10"/>
        <v/>
      </c>
      <c r="W71" s="6" t="str">
        <f t="shared" si="11"/>
        <v/>
      </c>
      <c r="X71" s="6">
        <f t="shared" si="12"/>
        <v>112.28125806451615</v>
      </c>
      <c r="Y71" s="6">
        <f t="shared" si="13"/>
        <v>105.54852188284264</v>
      </c>
      <c r="Z71" s="6">
        <f t="shared" si="14"/>
        <v>108.45925806451615</v>
      </c>
      <c r="AA71" s="6">
        <f t="shared" si="43"/>
        <v>102.90252188284263</v>
      </c>
      <c r="AB71" s="6" t="str">
        <f t="shared" si="16"/>
        <v/>
      </c>
      <c r="AC71" s="6" t="str">
        <f t="shared" si="17"/>
        <v/>
      </c>
      <c r="AD71" s="6" t="str">
        <f t="shared" si="18"/>
        <v/>
      </c>
      <c r="AE71" s="12" t="str">
        <f t="shared" si="19"/>
        <v/>
      </c>
      <c r="AF71" s="6" t="str">
        <f t="shared" si="20"/>
        <v/>
      </c>
      <c r="AG71" s="6" t="str">
        <f t="shared" si="21"/>
        <v/>
      </c>
      <c r="AH71" s="12" t="str">
        <f t="shared" si="0"/>
        <v/>
      </c>
      <c r="AI71" s="6" t="str">
        <f t="shared" si="22"/>
        <v/>
      </c>
      <c r="AJ71" s="12">
        <f>'主翼(型紙出力)'!AE77/100</f>
        <v>0.35922330097087424</v>
      </c>
      <c r="AK71" s="12">
        <f>'主翼(型紙出力)'!AG77/100</f>
        <v>0.64077669902912571</v>
      </c>
      <c r="AL71" s="12">
        <f>'主翼(型紙出力)'!D77/1000</f>
        <v>0.97056310679611668</v>
      </c>
      <c r="AM71" s="12">
        <f t="shared" si="23"/>
        <v>14.206899590409098</v>
      </c>
      <c r="AN71" s="6">
        <f t="shared" si="24"/>
        <v>137.8869260440793</v>
      </c>
      <c r="AO71" s="6">
        <f t="shared" si="25"/>
        <v>25.605667979563151</v>
      </c>
      <c r="AP71" s="100">
        <f t="shared" si="26"/>
        <v>-1729.2065000000005</v>
      </c>
      <c r="AQ71" s="218">
        <v>925241.57622236083</v>
      </c>
      <c r="AR71" s="100">
        <f t="shared" si="27"/>
        <v>-54.334950358142407</v>
      </c>
      <c r="AS71" s="100">
        <f t="shared" si="28"/>
        <v>-103.83409013441022</v>
      </c>
      <c r="AT71" s="6">
        <f t="shared" si="29"/>
        <v>16.653552775987084</v>
      </c>
      <c r="AU71" s="6" t="str">
        <f t="shared" si="30"/>
        <v/>
      </c>
      <c r="AV71" s="6">
        <f t="shared" si="31"/>
        <v>542.23076115542528</v>
      </c>
      <c r="AW71" s="6" t="str">
        <f t="shared" si="32"/>
        <v/>
      </c>
      <c r="AX71" s="12" t="str">
        <f t="shared" si="33"/>
        <v/>
      </c>
      <c r="AY71" s="6" t="str">
        <f t="shared" si="34"/>
        <v/>
      </c>
      <c r="AZ71" s="6">
        <f t="shared" si="35"/>
        <v>8.0741162454865564E-5</v>
      </c>
      <c r="BA71" s="6" t="str">
        <f t="shared" si="36"/>
        <v/>
      </c>
      <c r="BB71" s="12" t="str">
        <f t="shared" si="37"/>
        <v/>
      </c>
      <c r="BC71" s="6" t="str">
        <f t="shared" si="38"/>
        <v/>
      </c>
      <c r="BD71" s="6">
        <f t="shared" si="39"/>
        <v>0.14836188601081549</v>
      </c>
      <c r="BE71" s="6" t="str">
        <f t="shared" si="40"/>
        <v/>
      </c>
      <c r="BF71" s="12" t="str">
        <f t="shared" si="41"/>
        <v/>
      </c>
      <c r="BG71" s="12">
        <f t="shared" si="42"/>
        <v>0.14836188601081549</v>
      </c>
      <c r="BH71" s="23"/>
      <c r="BI71" s="23"/>
      <c r="BJ71" s="23"/>
    </row>
    <row r="72" spans="1:62">
      <c r="A72" s="22"/>
      <c r="B72" s="6"/>
      <c r="C72" s="100">
        <f>'主翼(型紙出力)'!B78</f>
        <v>27</v>
      </c>
      <c r="D72" s="227" t="str">
        <f t="shared" si="5"/>
        <v>1</v>
      </c>
      <c r="E72" s="12">
        <f>'主翼(型紙出力)'!C78</f>
        <v>4.0749999999999984</v>
      </c>
      <c r="F72" s="6">
        <f t="shared" si="6"/>
        <v>55.337500000000013</v>
      </c>
      <c r="G72" s="6">
        <f t="shared" si="6"/>
        <v>52.01227893738141</v>
      </c>
      <c r="H72" s="6">
        <f t="shared" si="7"/>
        <v>53.426500000000011</v>
      </c>
      <c r="I72" s="6">
        <f t="shared" si="7"/>
        <v>50.68927893738141</v>
      </c>
      <c r="J72" s="203">
        <v>899269.3173844082</v>
      </c>
      <c r="K72" s="203">
        <v>841432.61369340902</v>
      </c>
      <c r="L72" s="203">
        <v>1714321.6101017578</v>
      </c>
      <c r="M72" s="204">
        <v>563.30136947059555</v>
      </c>
      <c r="N72" s="204">
        <v>9733.6196779419315</v>
      </c>
      <c r="O72" s="196">
        <v>349.93756362567478</v>
      </c>
      <c r="P72" s="6">
        <f t="shared" si="1"/>
        <v>90.627460642858509</v>
      </c>
      <c r="Q72" s="12">
        <f t="shared" si="2"/>
        <v>14.41495437773508</v>
      </c>
      <c r="R72" s="96">
        <f t="shared" si="8"/>
        <v>81498.494668585699</v>
      </c>
      <c r="S72" s="202">
        <f t="shared" si="9"/>
        <v>24711.867798382184</v>
      </c>
      <c r="T72" s="12" t="str">
        <f t="shared" si="3"/>
        <v/>
      </c>
      <c r="U72" s="12" t="str">
        <f t="shared" si="4"/>
        <v/>
      </c>
      <c r="V72" s="6" t="str">
        <f t="shared" si="10"/>
        <v/>
      </c>
      <c r="W72" s="6" t="str">
        <f t="shared" si="11"/>
        <v/>
      </c>
      <c r="X72" s="6">
        <f t="shared" si="12"/>
        <v>110.67500000000003</v>
      </c>
      <c r="Y72" s="6">
        <f t="shared" si="13"/>
        <v>104.02455787476282</v>
      </c>
      <c r="Z72" s="6">
        <f t="shared" si="14"/>
        <v>106.85300000000002</v>
      </c>
      <c r="AA72" s="6">
        <f t="shared" si="43"/>
        <v>101.37855787476282</v>
      </c>
      <c r="AB72" s="6" t="str">
        <f t="shared" si="16"/>
        <v/>
      </c>
      <c r="AC72" s="6" t="str">
        <f t="shared" si="17"/>
        <v/>
      </c>
      <c r="AD72" s="6" t="str">
        <f t="shared" si="18"/>
        <v/>
      </c>
      <c r="AE72" s="12" t="str">
        <f t="shared" si="19"/>
        <v/>
      </c>
      <c r="AF72" s="6" t="str">
        <f t="shared" si="20"/>
        <v/>
      </c>
      <c r="AG72" s="6" t="str">
        <f t="shared" si="21"/>
        <v/>
      </c>
      <c r="AH72" s="12" t="str">
        <f t="shared" si="0"/>
        <v/>
      </c>
      <c r="AI72" s="6" t="str">
        <f t="shared" si="22"/>
        <v/>
      </c>
      <c r="AJ72" s="12">
        <f>'主翼(型紙出力)'!AE78/100</f>
        <v>0.30097087378640835</v>
      </c>
      <c r="AK72" s="12">
        <f>'主翼(型紙出力)'!AG78/100</f>
        <v>0.69902912621359159</v>
      </c>
      <c r="AL72" s="12">
        <f>'主翼(型紙出力)'!D78/1000</f>
        <v>0.95879611650485441</v>
      </c>
      <c r="AM72" s="12">
        <f t="shared" si="23"/>
        <v>14.171769769708376</v>
      </c>
      <c r="AN72" s="6">
        <f t="shared" si="24"/>
        <v>135.87837819197284</v>
      </c>
      <c r="AO72" s="6">
        <f t="shared" si="25"/>
        <v>25.203378191972817</v>
      </c>
      <c r="AP72" s="100">
        <f t="shared" si="26"/>
        <v>-1729.2065000000005</v>
      </c>
      <c r="AQ72" s="218">
        <v>888013.66573131003</v>
      </c>
      <c r="AR72" s="100">
        <f t="shared" si="27"/>
        <v>-53.70133088745969</v>
      </c>
      <c r="AS72" s="100">
        <f t="shared" si="28"/>
        <v>-102.62324332593555</v>
      </c>
      <c r="AT72" s="6">
        <f t="shared" si="29"/>
        <v>16.850047259839286</v>
      </c>
      <c r="AU72" s="6" t="str">
        <f t="shared" si="30"/>
        <v/>
      </c>
      <c r="AV72" s="6">
        <f t="shared" si="31"/>
        <v>534.31807157611638</v>
      </c>
      <c r="AW72" s="6" t="str">
        <f t="shared" si="32"/>
        <v/>
      </c>
      <c r="AX72" s="12" t="str">
        <f t="shared" si="33"/>
        <v/>
      </c>
      <c r="AY72" s="6" t="str">
        <f t="shared" si="34"/>
        <v/>
      </c>
      <c r="AZ72" s="6">
        <f t="shared" si="35"/>
        <v>7.9554259017969363E-5</v>
      </c>
      <c r="BA72" s="6" t="str">
        <f t="shared" si="36"/>
        <v/>
      </c>
      <c r="BB72" s="12" t="str">
        <f t="shared" si="37"/>
        <v/>
      </c>
      <c r="BC72" s="6" t="str">
        <f t="shared" si="38"/>
        <v/>
      </c>
      <c r="BD72" s="6">
        <f t="shared" si="39"/>
        <v>0.14618095094551872</v>
      </c>
      <c r="BE72" s="6" t="str">
        <f t="shared" si="40"/>
        <v/>
      </c>
      <c r="BF72" s="12" t="str">
        <f t="shared" si="41"/>
        <v/>
      </c>
      <c r="BG72" s="12">
        <f t="shared" si="42"/>
        <v>0.14618095094551872</v>
      </c>
      <c r="BH72" s="23"/>
      <c r="BI72" s="23"/>
      <c r="BJ72" s="23"/>
    </row>
    <row r="73" spans="1:62">
      <c r="A73" s="22"/>
      <c r="B73" s="6"/>
      <c r="C73" s="158">
        <f>'主翼(型紙出力)'!B79</f>
        <v>28</v>
      </c>
      <c r="D73" s="227" t="str">
        <f t="shared" si="5"/>
        <v>1</v>
      </c>
      <c r="E73" s="12">
        <f>'主翼(型紙出力)'!C79</f>
        <v>4.2249999999999988</v>
      </c>
      <c r="F73" s="6">
        <f t="shared" si="6"/>
        <v>54.53437096774195</v>
      </c>
      <c r="G73" s="6">
        <f t="shared" si="6"/>
        <v>51.250296933341502</v>
      </c>
      <c r="H73" s="6">
        <f t="shared" si="7"/>
        <v>52.623370967741948</v>
      </c>
      <c r="I73" s="6">
        <f t="shared" si="7"/>
        <v>49.927296933341502</v>
      </c>
      <c r="J73" s="203">
        <v>859997.53408859926</v>
      </c>
      <c r="K73" s="203">
        <v>804504.39408981672</v>
      </c>
      <c r="L73" s="203">
        <v>1639280.0911535192</v>
      </c>
      <c r="M73" s="204">
        <v>554.96112181465219</v>
      </c>
      <c r="N73" s="204">
        <v>9447.385708081245</v>
      </c>
      <c r="O73" s="196">
        <v>344.753181462572</v>
      </c>
      <c r="P73" s="6">
        <f t="shared" si="1"/>
        <v>90.627460642858509</v>
      </c>
      <c r="Q73" s="12">
        <f t="shared" si="2"/>
        <v>14.41495437773508</v>
      </c>
      <c r="R73" s="96">
        <f t="shared" si="8"/>
        <v>77939.392673569891</v>
      </c>
      <c r="S73" s="202">
        <f t="shared" si="9"/>
        <v>23630.147726307383</v>
      </c>
      <c r="T73" s="12" t="str">
        <f t="shared" si="3"/>
        <v/>
      </c>
      <c r="U73" s="12" t="str">
        <f t="shared" si="4"/>
        <v/>
      </c>
      <c r="V73" s="6" t="str">
        <f t="shared" si="10"/>
        <v/>
      </c>
      <c r="W73" s="6" t="str">
        <f t="shared" si="11"/>
        <v/>
      </c>
      <c r="X73" s="6">
        <f t="shared" si="12"/>
        <v>109.0687419354839</v>
      </c>
      <c r="Y73" s="6">
        <f t="shared" si="13"/>
        <v>102.500593866683</v>
      </c>
      <c r="Z73" s="6">
        <f t="shared" si="14"/>
        <v>105.2467419354839</v>
      </c>
      <c r="AA73" s="6">
        <f t="shared" si="43"/>
        <v>99.854593866683004</v>
      </c>
      <c r="AB73" s="6" t="str">
        <f t="shared" si="16"/>
        <v/>
      </c>
      <c r="AC73" s="6" t="str">
        <f t="shared" si="17"/>
        <v/>
      </c>
      <c r="AD73" s="6" t="str">
        <f t="shared" si="18"/>
        <v/>
      </c>
      <c r="AE73" s="12" t="str">
        <f t="shared" si="19"/>
        <v/>
      </c>
      <c r="AF73" s="6" t="str">
        <f t="shared" si="20"/>
        <v/>
      </c>
      <c r="AG73" s="6" t="str">
        <f t="shared" si="21"/>
        <v/>
      </c>
      <c r="AH73" s="12" t="str">
        <f t="shared" si="0"/>
        <v/>
      </c>
      <c r="AI73" s="6" t="str">
        <f t="shared" si="22"/>
        <v/>
      </c>
      <c r="AJ73" s="12">
        <f>'主翼(型紙出力)'!AE79/100</f>
        <v>0.24271844660194206</v>
      </c>
      <c r="AK73" s="12">
        <f>'主翼(型紙出力)'!AG79/100</f>
        <v>0.75728155339805792</v>
      </c>
      <c r="AL73" s="12">
        <f>'主翼(型紙出力)'!D79/1000</f>
        <v>0.94702912621359236</v>
      </c>
      <c r="AM73" s="12">
        <f t="shared" si="23"/>
        <v>14.136639949007659</v>
      </c>
      <c r="AN73" s="6">
        <f t="shared" si="24"/>
        <v>133.87809778504885</v>
      </c>
      <c r="AO73" s="6">
        <f t="shared" si="25"/>
        <v>24.809355849564952</v>
      </c>
      <c r="AP73" s="100">
        <f t="shared" si="26"/>
        <v>-1729.2065000000005</v>
      </c>
      <c r="AQ73" s="218">
        <v>851765.42479209404</v>
      </c>
      <c r="AR73" s="100">
        <f t="shared" si="27"/>
        <v>-53.066000750902042</v>
      </c>
      <c r="AS73" s="100">
        <f t="shared" si="28"/>
        <v>-101.40912743497387</v>
      </c>
      <c r="AT73" s="6">
        <f t="shared" si="29"/>
        <v>17.051783638596159</v>
      </c>
      <c r="AU73" s="6" t="str">
        <f t="shared" si="30"/>
        <v/>
      </c>
      <c r="AV73" s="6">
        <f t="shared" si="31"/>
        <v>526.405381996806</v>
      </c>
      <c r="AW73" s="6" t="str">
        <f t="shared" si="32"/>
        <v/>
      </c>
      <c r="AX73" s="12" t="str">
        <f t="shared" si="33"/>
        <v/>
      </c>
      <c r="AY73" s="6" t="str">
        <f t="shared" si="34"/>
        <v/>
      </c>
      <c r="AZ73" s="6">
        <f t="shared" si="35"/>
        <v>7.8367355581072823E-5</v>
      </c>
      <c r="BA73" s="6" t="str">
        <f t="shared" si="36"/>
        <v/>
      </c>
      <c r="BB73" s="12" t="str">
        <f t="shared" si="37"/>
        <v/>
      </c>
      <c r="BC73" s="6" t="str">
        <f t="shared" si="38"/>
        <v/>
      </c>
      <c r="BD73" s="6">
        <f t="shared" si="39"/>
        <v>0.14400001588022132</v>
      </c>
      <c r="BE73" s="6" t="str">
        <f t="shared" si="40"/>
        <v/>
      </c>
      <c r="BF73" s="12" t="str">
        <f t="shared" si="41"/>
        <v/>
      </c>
      <c r="BG73" s="12">
        <f t="shared" si="42"/>
        <v>0.14400001588022132</v>
      </c>
      <c r="BH73" s="23"/>
      <c r="BI73" s="23"/>
      <c r="BJ73" s="23"/>
    </row>
    <row r="74" spans="1:62">
      <c r="A74" s="22"/>
      <c r="B74" s="6"/>
      <c r="C74" s="100">
        <f>'主翼(型紙出力)'!B80</f>
        <v>29</v>
      </c>
      <c r="D74" s="227" t="str">
        <f t="shared" si="5"/>
        <v>1</v>
      </c>
      <c r="E74" s="12">
        <f>'主翼(型紙出力)'!C80</f>
        <v>4.3749999999999991</v>
      </c>
      <c r="F74" s="6">
        <f t="shared" si="6"/>
        <v>53.73124193548388</v>
      </c>
      <c r="G74" s="6">
        <f t="shared" si="6"/>
        <v>50.488314929301588</v>
      </c>
      <c r="H74" s="6">
        <f t="shared" si="7"/>
        <v>51.820241935483878</v>
      </c>
      <c r="I74" s="6">
        <f t="shared" si="7"/>
        <v>49.165314929301587</v>
      </c>
      <c r="J74" s="203">
        <v>821886.07643897261</v>
      </c>
      <c r="K74" s="203">
        <v>768672.74821291119</v>
      </c>
      <c r="L74" s="203">
        <v>1566461.0155579776</v>
      </c>
      <c r="M74" s="204">
        <v>546.62087361669774</v>
      </c>
      <c r="N74" s="204">
        <v>9165.4233436532286</v>
      </c>
      <c r="O74" s="196">
        <v>339.56880003463607</v>
      </c>
      <c r="P74" s="6">
        <f t="shared" si="1"/>
        <v>90.627460642858509</v>
      </c>
      <c r="Q74" s="12">
        <f t="shared" si="2"/>
        <v>14.41495437773508</v>
      </c>
      <c r="R74" s="96">
        <f t="shared" si="8"/>
        <v>74485.44804538638</v>
      </c>
      <c r="S74" s="202">
        <f t="shared" si="9"/>
        <v>22580.464073768806</v>
      </c>
      <c r="T74" s="12" t="str">
        <f t="shared" si="3"/>
        <v/>
      </c>
      <c r="U74" s="12" t="str">
        <f t="shared" si="4"/>
        <v/>
      </c>
      <c r="V74" s="6" t="str">
        <f t="shared" si="10"/>
        <v/>
      </c>
      <c r="W74" s="6" t="str">
        <f t="shared" si="11"/>
        <v/>
      </c>
      <c r="X74" s="6">
        <f t="shared" si="12"/>
        <v>107.46248387096776</v>
      </c>
      <c r="Y74" s="6">
        <f t="shared" si="13"/>
        <v>100.97662985860318</v>
      </c>
      <c r="Z74" s="6">
        <f t="shared" si="14"/>
        <v>103.64048387096776</v>
      </c>
      <c r="AA74" s="6">
        <f t="shared" si="43"/>
        <v>98.330629858603174</v>
      </c>
      <c r="AB74" s="6" t="str">
        <f t="shared" si="16"/>
        <v/>
      </c>
      <c r="AC74" s="6" t="str">
        <f t="shared" si="17"/>
        <v/>
      </c>
      <c r="AD74" s="6" t="str">
        <f t="shared" si="18"/>
        <v/>
      </c>
      <c r="AE74" s="12" t="str">
        <f t="shared" si="19"/>
        <v/>
      </c>
      <c r="AF74" s="6" t="str">
        <f t="shared" si="20"/>
        <v/>
      </c>
      <c r="AG74" s="6" t="str">
        <f t="shared" si="21"/>
        <v/>
      </c>
      <c r="AH74" s="12" t="str">
        <f t="shared" si="0"/>
        <v/>
      </c>
      <c r="AI74" s="6" t="str">
        <f t="shared" si="22"/>
        <v/>
      </c>
      <c r="AJ74" s="12">
        <f>'主翼(型紙出力)'!AE80/100</f>
        <v>0.18446601941747601</v>
      </c>
      <c r="AK74" s="12">
        <f>'主翼(型紙出力)'!AG80/100</f>
        <v>0.81553398058252402</v>
      </c>
      <c r="AL74" s="12">
        <f>'主翼(型紙出力)'!D80/1000</f>
        <v>0.93526213592233021</v>
      </c>
      <c r="AM74" s="12">
        <f t="shared" si="23"/>
        <v>14.10151012830694</v>
      </c>
      <c r="AN74" s="6">
        <f t="shared" si="24"/>
        <v>131.88608482330721</v>
      </c>
      <c r="AO74" s="6">
        <f t="shared" si="25"/>
        <v>24.423600952339456</v>
      </c>
      <c r="AP74" s="100">
        <f t="shared" si="26"/>
        <v>-1729.2065000000005</v>
      </c>
      <c r="AQ74" s="218">
        <v>816488.57241760963</v>
      </c>
      <c r="AR74" s="100">
        <f t="shared" si="27"/>
        <v>-52.429152198179402</v>
      </c>
      <c r="AS74" s="100">
        <f t="shared" si="28"/>
        <v>-100.19210985072091</v>
      </c>
      <c r="AT74" s="6">
        <f t="shared" si="29"/>
        <v>17.258908935807366</v>
      </c>
      <c r="AU74" s="6" t="str">
        <f t="shared" si="30"/>
        <v/>
      </c>
      <c r="AV74" s="6">
        <f t="shared" si="31"/>
        <v>518.49269241749573</v>
      </c>
      <c r="AW74" s="6" t="str">
        <f t="shared" si="32"/>
        <v/>
      </c>
      <c r="AX74" s="12" t="str">
        <f t="shared" si="33"/>
        <v/>
      </c>
      <c r="AY74" s="6" t="str">
        <f t="shared" si="34"/>
        <v/>
      </c>
      <c r="AZ74" s="6">
        <f t="shared" si="35"/>
        <v>7.7180452144176364E-5</v>
      </c>
      <c r="BA74" s="6" t="str">
        <f t="shared" si="36"/>
        <v/>
      </c>
      <c r="BB74" s="12" t="str">
        <f t="shared" si="37"/>
        <v/>
      </c>
      <c r="BC74" s="6" t="str">
        <f t="shared" si="38"/>
        <v/>
      </c>
      <c r="BD74" s="6">
        <f t="shared" si="39"/>
        <v>0.14181908081492409</v>
      </c>
      <c r="BE74" s="6" t="str">
        <f t="shared" si="40"/>
        <v/>
      </c>
      <c r="BF74" s="12" t="str">
        <f t="shared" si="41"/>
        <v/>
      </c>
      <c r="BG74" s="12">
        <f t="shared" si="42"/>
        <v>0.14181908081492409</v>
      </c>
      <c r="BH74" s="23"/>
      <c r="BI74" s="23"/>
      <c r="BJ74" s="23"/>
    </row>
    <row r="75" spans="1:62">
      <c r="A75" s="22"/>
      <c r="B75" s="6"/>
      <c r="C75" s="158">
        <f>'主翼(型紙出力)'!B81</f>
        <v>30</v>
      </c>
      <c r="D75" s="227" t="str">
        <f t="shared" si="5"/>
        <v>1</v>
      </c>
      <c r="E75" s="12">
        <f>'主翼(型紙出力)'!C81</f>
        <v>4.5249999999999995</v>
      </c>
      <c r="F75" s="6">
        <f t="shared" si="6"/>
        <v>52.928112903225809</v>
      </c>
      <c r="G75" s="6">
        <f t="shared" si="6"/>
        <v>49.726332925261673</v>
      </c>
      <c r="H75" s="6">
        <f t="shared" si="7"/>
        <v>51.017112903225808</v>
      </c>
      <c r="I75" s="6">
        <f t="shared" si="7"/>
        <v>48.403332925261672</v>
      </c>
      <c r="J75" s="203">
        <v>784917.54460512509</v>
      </c>
      <c r="K75" s="203">
        <v>733921.14822105039</v>
      </c>
      <c r="L75" s="203">
        <v>1495830.9763306135</v>
      </c>
      <c r="M75" s="204">
        <v>538.28062485231635</v>
      </c>
      <c r="N75" s="204">
        <v>8887.732584657886</v>
      </c>
      <c r="O75" s="196">
        <v>334.38441937606376</v>
      </c>
      <c r="P75" s="6">
        <f t="shared" si="1"/>
        <v>90.627460642858509</v>
      </c>
      <c r="Q75" s="12">
        <f t="shared" si="2"/>
        <v>14.41495437773508</v>
      </c>
      <c r="R75" s="96">
        <f t="shared" si="8"/>
        <v>71135.083881590108</v>
      </c>
      <c r="S75" s="202">
        <f t="shared" si="9"/>
        <v>21562.335280608717</v>
      </c>
      <c r="T75" s="12" t="str">
        <f t="shared" si="3"/>
        <v/>
      </c>
      <c r="U75" s="12" t="str">
        <f t="shared" si="4"/>
        <v/>
      </c>
      <c r="V75" s="6" t="str">
        <f t="shared" si="10"/>
        <v/>
      </c>
      <c r="W75" s="6" t="str">
        <f t="shared" si="11"/>
        <v/>
      </c>
      <c r="X75" s="6">
        <f t="shared" si="12"/>
        <v>105.85622580645162</v>
      </c>
      <c r="Y75" s="6">
        <f t="shared" si="13"/>
        <v>99.452665850523346</v>
      </c>
      <c r="Z75" s="6">
        <f t="shared" si="14"/>
        <v>102.03422580645162</v>
      </c>
      <c r="AA75" s="6">
        <f t="shared" si="43"/>
        <v>96.806665850523345</v>
      </c>
      <c r="AB75" s="6" t="str">
        <f t="shared" si="16"/>
        <v/>
      </c>
      <c r="AC75" s="6" t="str">
        <f t="shared" si="17"/>
        <v/>
      </c>
      <c r="AD75" s="6" t="str">
        <f t="shared" si="18"/>
        <v/>
      </c>
      <c r="AE75" s="12" t="str">
        <f t="shared" si="19"/>
        <v/>
      </c>
      <c r="AF75" s="6" t="str">
        <f t="shared" si="20"/>
        <v/>
      </c>
      <c r="AG75" s="6" t="str">
        <f t="shared" si="21"/>
        <v/>
      </c>
      <c r="AH75" s="12" t="str">
        <f t="shared" si="0"/>
        <v/>
      </c>
      <c r="AI75" s="6" t="str">
        <f t="shared" si="22"/>
        <v/>
      </c>
      <c r="AJ75" s="12">
        <f>'主翼(型紙出力)'!AE81/100</f>
        <v>0.12621359223300971</v>
      </c>
      <c r="AK75" s="12">
        <f>'主翼(型紙出力)'!AG81/100</f>
        <v>0.87378640776699035</v>
      </c>
      <c r="AL75" s="12">
        <f>'主翼(型紙出力)'!D81/1000</f>
        <v>0.92349514563106805</v>
      </c>
      <c r="AM75" s="12">
        <f t="shared" si="23"/>
        <v>14.066380307606218</v>
      </c>
      <c r="AN75" s="6">
        <f t="shared" si="24"/>
        <v>129.90233930674793</v>
      </c>
      <c r="AO75" s="6">
        <f t="shared" si="25"/>
        <v>24.046113500296315</v>
      </c>
      <c r="AP75" s="100">
        <f t="shared" si="26"/>
        <v>-1729.2065000000005</v>
      </c>
      <c r="AQ75" s="218">
        <v>782174.68479503412</v>
      </c>
      <c r="AR75" s="100">
        <f t="shared" si="27"/>
        <v>-51.790996895101813</v>
      </c>
      <c r="AS75" s="100">
        <f t="shared" si="28"/>
        <v>-98.97259506653964</v>
      </c>
      <c r="AT75" s="6">
        <f t="shared" si="29"/>
        <v>17.471568759386866</v>
      </c>
      <c r="AU75" s="6" t="str">
        <f t="shared" si="30"/>
        <v/>
      </c>
      <c r="AV75" s="6">
        <f t="shared" si="31"/>
        <v>510.58000283818677</v>
      </c>
      <c r="AW75" s="6" t="str">
        <f t="shared" si="32"/>
        <v/>
      </c>
      <c r="AX75" s="12" t="str">
        <f t="shared" si="33"/>
        <v/>
      </c>
      <c r="AY75" s="6" t="str">
        <f t="shared" si="34"/>
        <v/>
      </c>
      <c r="AZ75" s="6">
        <f t="shared" si="35"/>
        <v>7.5993548707280027E-5</v>
      </c>
      <c r="BA75" s="6" t="str">
        <f t="shared" si="36"/>
        <v/>
      </c>
      <c r="BB75" s="12" t="str">
        <f t="shared" si="37"/>
        <v/>
      </c>
      <c r="BC75" s="6" t="str">
        <f t="shared" si="38"/>
        <v/>
      </c>
      <c r="BD75" s="6">
        <f t="shared" si="39"/>
        <v>0.13963814574962705</v>
      </c>
      <c r="BE75" s="6" t="str">
        <f t="shared" si="40"/>
        <v/>
      </c>
      <c r="BF75" s="12" t="str">
        <f t="shared" si="41"/>
        <v/>
      </c>
      <c r="BG75" s="12">
        <f t="shared" si="42"/>
        <v>0.13963814574962705</v>
      </c>
      <c r="BH75" s="23"/>
      <c r="BI75" s="23"/>
      <c r="BJ75" s="23"/>
    </row>
    <row r="76" spans="1:62">
      <c r="A76" s="22"/>
      <c r="B76" s="6"/>
      <c r="C76" s="100">
        <f>'主翼(型紙出力)'!B82</f>
        <v>31</v>
      </c>
      <c r="D76" s="227" t="str">
        <f t="shared" si="5"/>
        <v>1</v>
      </c>
      <c r="E76" s="12">
        <f>'主翼(型紙出力)'!C82</f>
        <v>4.6749999999999998</v>
      </c>
      <c r="F76" s="6">
        <f t="shared" si="6"/>
        <v>52.124983870967746</v>
      </c>
      <c r="G76" s="6">
        <f t="shared" si="6"/>
        <v>48.964350921221765</v>
      </c>
      <c r="H76" s="6">
        <f t="shared" si="7"/>
        <v>50.213983870967745</v>
      </c>
      <c r="I76" s="6">
        <f t="shared" si="7"/>
        <v>47.641350921221765</v>
      </c>
      <c r="J76" s="203">
        <v>749074.53875664307</v>
      </c>
      <c r="K76" s="203">
        <v>700233.0662725711</v>
      </c>
      <c r="L76" s="203">
        <v>1427356.5664868776</v>
      </c>
      <c r="M76" s="204">
        <v>529.94037549559653</v>
      </c>
      <c r="N76" s="204">
        <v>8614.3134310952228</v>
      </c>
      <c r="O76" s="196">
        <v>329.20003952317688</v>
      </c>
      <c r="P76" s="6">
        <f t="shared" si="1"/>
        <v>90.627460642858509</v>
      </c>
      <c r="Q76" s="12">
        <f t="shared" si="2"/>
        <v>14.41495437773508</v>
      </c>
      <c r="R76" s="96">
        <f t="shared" si="8"/>
        <v>67886.723279735059</v>
      </c>
      <c r="S76" s="202">
        <f t="shared" si="9"/>
        <v>20575.279786668933</v>
      </c>
      <c r="T76" s="12" t="str">
        <f t="shared" si="3"/>
        <v/>
      </c>
      <c r="U76" s="12" t="str">
        <f t="shared" si="4"/>
        <v/>
      </c>
      <c r="V76" s="6" t="str">
        <f t="shared" si="10"/>
        <v/>
      </c>
      <c r="W76" s="6" t="str">
        <f t="shared" si="11"/>
        <v/>
      </c>
      <c r="X76" s="6">
        <f t="shared" si="12"/>
        <v>104.24996774193549</v>
      </c>
      <c r="Y76" s="6">
        <f t="shared" si="13"/>
        <v>97.92870184244353</v>
      </c>
      <c r="Z76" s="6">
        <f t="shared" si="14"/>
        <v>100.42796774193549</v>
      </c>
      <c r="AA76" s="6">
        <f t="shared" si="43"/>
        <v>95.282701842443529</v>
      </c>
      <c r="AB76" s="6" t="str">
        <f t="shared" si="16"/>
        <v/>
      </c>
      <c r="AC76" s="6" t="str">
        <f t="shared" si="17"/>
        <v/>
      </c>
      <c r="AD76" s="6" t="str">
        <f t="shared" si="18"/>
        <v/>
      </c>
      <c r="AE76" s="12" t="str">
        <f t="shared" si="19"/>
        <v/>
      </c>
      <c r="AF76" s="6" t="str">
        <f t="shared" si="20"/>
        <v/>
      </c>
      <c r="AG76" s="6" t="str">
        <f t="shared" si="21"/>
        <v/>
      </c>
      <c r="AH76" s="12" t="str">
        <f t="shared" si="0"/>
        <v/>
      </c>
      <c r="AI76" s="6" t="str">
        <f t="shared" si="22"/>
        <v/>
      </c>
      <c r="AJ76" s="12">
        <f>'主翼(型紙出力)'!AE82/100</f>
        <v>6.7961165048543673E-2</v>
      </c>
      <c r="AK76" s="12">
        <f>'主翼(型紙出力)'!AG82/100</f>
        <v>0.93203883495145634</v>
      </c>
      <c r="AL76" s="12">
        <f>'主翼(型紙出力)'!D82/1000</f>
        <v>0.91172815533980589</v>
      </c>
      <c r="AM76" s="12">
        <f t="shared" si="23"/>
        <v>14.031250486905499</v>
      </c>
      <c r="AN76" s="6">
        <f t="shared" si="24"/>
        <v>127.92686123537106</v>
      </c>
      <c r="AO76" s="6">
        <f t="shared" si="25"/>
        <v>23.676893493435571</v>
      </c>
      <c r="AP76" s="100">
        <f t="shared" si="26"/>
        <v>-1729.2065000000005</v>
      </c>
      <c r="AQ76" s="218">
        <v>748768.53237916029</v>
      </c>
      <c r="AR76" s="100">
        <f t="shared" si="27"/>
        <v>-51.148580492749865</v>
      </c>
      <c r="AS76" s="100">
        <f t="shared" si="28"/>
        <v>-97.744937321645068</v>
      </c>
      <c r="AT76" s="6">
        <f t="shared" si="29"/>
        <v>17.691008326188545</v>
      </c>
      <c r="AU76" s="6" t="str">
        <f t="shared" si="30"/>
        <v/>
      </c>
      <c r="AV76" s="6">
        <f t="shared" si="31"/>
        <v>502.66731325887787</v>
      </c>
      <c r="AW76" s="6" t="str">
        <f t="shared" si="32"/>
        <v/>
      </c>
      <c r="AX76" s="12" t="str">
        <f t="shared" si="33"/>
        <v/>
      </c>
      <c r="AY76" s="6" t="str">
        <f t="shared" si="34"/>
        <v/>
      </c>
      <c r="AZ76" s="6">
        <f t="shared" si="35"/>
        <v>8.7159026092415633E-5</v>
      </c>
      <c r="BA76" s="6" t="str">
        <f t="shared" si="36"/>
        <v/>
      </c>
      <c r="BB76" s="12" t="str">
        <f t="shared" si="37"/>
        <v/>
      </c>
      <c r="BC76" s="6" t="str">
        <f t="shared" si="38"/>
        <v/>
      </c>
      <c r="BD76" s="6">
        <f t="shared" si="39"/>
        <v>0.16015471044481375</v>
      </c>
      <c r="BE76" s="6" t="str">
        <f t="shared" si="40"/>
        <v/>
      </c>
      <c r="BF76" s="12" t="str">
        <f t="shared" si="41"/>
        <v/>
      </c>
      <c r="BG76" s="12">
        <f t="shared" si="42"/>
        <v>0.16015471044481375</v>
      </c>
      <c r="BH76" s="23"/>
      <c r="BI76" s="23"/>
      <c r="BJ76" s="23"/>
    </row>
    <row r="77" spans="1:62">
      <c r="A77" s="22"/>
      <c r="B77" s="6"/>
      <c r="C77" s="158">
        <f>'主翼(型紙出力)'!B83</f>
        <v>32</v>
      </c>
      <c r="D77" s="227" t="str">
        <f t="shared" si="5"/>
        <v>1-2接合</v>
      </c>
      <c r="E77" s="12">
        <f>'主翼(型紙出力)'!C83</f>
        <v>4.8499999999999996</v>
      </c>
      <c r="F77" s="6">
        <f t="shared" si="6"/>
        <v>51.188000000000002</v>
      </c>
      <c r="G77" s="6">
        <f t="shared" si="6"/>
        <v>48.161871455576559</v>
      </c>
      <c r="H77" s="6">
        <f t="shared" si="7"/>
        <v>49.277000000000001</v>
      </c>
      <c r="I77" s="6">
        <f t="shared" si="7"/>
        <v>46.69187145557656</v>
      </c>
      <c r="J77" s="203">
        <v>758938.92313503975</v>
      </c>
      <c r="K77" s="203">
        <v>835130.71718449565</v>
      </c>
      <c r="L77" s="203">
        <v>1589478.8600632146</v>
      </c>
      <c r="M77" s="204">
        <v>599.91917978550953</v>
      </c>
      <c r="N77" s="204">
        <v>8338.1433308201649</v>
      </c>
      <c r="O77" s="196">
        <v>323.91434057629567</v>
      </c>
      <c r="P77" s="6">
        <f t="shared" si="1"/>
        <v>88.272909866751533</v>
      </c>
      <c r="Q77" s="12">
        <f t="shared" si="2"/>
        <v>14.848910810140708</v>
      </c>
      <c r="R77" s="96">
        <f t="shared" si="8"/>
        <v>66993.74715626883</v>
      </c>
      <c r="S77" s="202">
        <f t="shared" si="9"/>
        <v>23602.029827682796</v>
      </c>
      <c r="T77" s="12" t="str">
        <f t="shared" si="3"/>
        <v/>
      </c>
      <c r="U77" s="12" t="str">
        <f t="shared" si="4"/>
        <v/>
      </c>
      <c r="V77" s="6" t="str">
        <f t="shared" si="10"/>
        <v/>
      </c>
      <c r="W77" s="6" t="str">
        <f t="shared" si="11"/>
        <v/>
      </c>
      <c r="X77" s="6">
        <f t="shared" si="12"/>
        <v>102.376</v>
      </c>
      <c r="Y77" s="6">
        <f t="shared" si="13"/>
        <v>96.150743833017074</v>
      </c>
      <c r="Z77" s="6">
        <f t="shared" si="14"/>
        <v>98.554000000000002</v>
      </c>
      <c r="AA77" s="6">
        <f t="shared" si="43"/>
        <v>93.504743833017073</v>
      </c>
      <c r="AB77" s="6">
        <f t="shared" si="16"/>
        <v>102.32800000000002</v>
      </c>
      <c r="AC77" s="6">
        <f t="shared" si="17"/>
        <v>96.323742911153118</v>
      </c>
      <c r="AD77" s="6">
        <f t="shared" si="18"/>
        <v>98.800000000000011</v>
      </c>
      <c r="AE77" s="12">
        <f>IF(AD77="","",AD77/$D$22)</f>
        <v>93.383742911153121</v>
      </c>
      <c r="AF77" s="6" t="str">
        <f t="shared" si="20"/>
        <v/>
      </c>
      <c r="AG77" s="6" t="str">
        <f t="shared" si="21"/>
        <v/>
      </c>
      <c r="AH77" s="12" t="str">
        <f t="shared" si="0"/>
        <v/>
      </c>
      <c r="AI77" s="6" t="str">
        <f t="shared" si="22"/>
        <v/>
      </c>
      <c r="AJ77" s="12">
        <f>'主翼(型紙出力)'!AE83/100</f>
        <v>1</v>
      </c>
      <c r="AK77" s="12">
        <f>'主翼(型紙出力)'!AG83/100</f>
        <v>0</v>
      </c>
      <c r="AL77" s="12">
        <f>'主翼(型紙出力)'!D83/1000</f>
        <v>0.89800000000000002</v>
      </c>
      <c r="AM77" s="12">
        <f t="shared" si="23"/>
        <v>14.593327618117016</v>
      </c>
      <c r="AN77" s="6">
        <f t="shared" si="24"/>
        <v>131.04808201069082</v>
      </c>
      <c r="AO77" s="6">
        <f t="shared" si="25"/>
        <v>28.672082010690815</v>
      </c>
      <c r="AP77" s="100">
        <f t="shared" si="26"/>
        <v>-1621.2282500000001</v>
      </c>
      <c r="AQ77" s="218">
        <v>710682.2221887802</v>
      </c>
      <c r="AR77" s="100">
        <f t="shared" si="27"/>
        <v>-47.038494980110329</v>
      </c>
      <c r="AS77" s="100">
        <f t="shared" si="28"/>
        <v>-89.890563906990906</v>
      </c>
      <c r="AT77" s="6">
        <f t="shared" si="29"/>
        <v>18.035577701764925</v>
      </c>
      <c r="AU77" s="6" t="str">
        <f t="shared" si="30"/>
        <v/>
      </c>
      <c r="AV77" s="6">
        <f t="shared" si="31"/>
        <v>493.43584208301627</v>
      </c>
      <c r="AW77" s="6">
        <f t="shared" si="32"/>
        <v>495.03816276901159</v>
      </c>
      <c r="AX77" s="12" t="str">
        <f t="shared" si="33"/>
        <v/>
      </c>
      <c r="AY77" s="6" t="str">
        <f t="shared" si="34"/>
        <v/>
      </c>
      <c r="AZ77" s="6">
        <f t="shared" si="35"/>
        <v>9.7697009586851098E-5</v>
      </c>
      <c r="BA77" s="6">
        <f>IF(AND(E77&lt;$M$13,E77&gt;($M$10-0.01)),AVERAGE(AW77:AW78)*(10^-6)*(E78-E77),"")</f>
        <v>9.8110726677003545E-5</v>
      </c>
      <c r="BB77" s="12" t="str">
        <f t="shared" si="37"/>
        <v/>
      </c>
      <c r="BC77" s="6" t="str">
        <f t="shared" si="38"/>
        <v/>
      </c>
      <c r="BD77" s="6">
        <f t="shared" si="39"/>
        <v>0.17951825511583891</v>
      </c>
      <c r="BE77" s="6">
        <f t="shared" si="40"/>
        <v>0.16188269901705588</v>
      </c>
      <c r="BF77" s="12" t="str">
        <f t="shared" si="41"/>
        <v/>
      </c>
      <c r="BG77" s="12">
        <f t="shared" si="42"/>
        <v>0.34140095413289478</v>
      </c>
      <c r="BH77" s="23"/>
      <c r="BI77" s="23"/>
      <c r="BJ77" s="23"/>
    </row>
    <row r="78" spans="1:62">
      <c r="A78" s="22"/>
      <c r="B78" s="6"/>
      <c r="C78" s="100">
        <f>'主翼(型紙出力)'!B84</f>
        <v>33</v>
      </c>
      <c r="D78" s="227" t="str">
        <f t="shared" si="5"/>
        <v>1-2接合</v>
      </c>
      <c r="E78" s="12">
        <f>'主翼(型紙出力)'!C84</f>
        <v>5.05</v>
      </c>
      <c r="F78" s="6">
        <f t="shared" si="6"/>
        <v>50.254000000000005</v>
      </c>
      <c r="G78" s="6">
        <f t="shared" si="6"/>
        <v>47.301758034026463</v>
      </c>
      <c r="H78" s="6">
        <f t="shared" si="7"/>
        <v>48.272000000000006</v>
      </c>
      <c r="I78" s="6">
        <f t="shared" si="7"/>
        <v>45.798861480075907</v>
      </c>
      <c r="J78" s="203">
        <v>745400.71655625338</v>
      </c>
      <c r="K78" s="203">
        <v>827094.28603246994</v>
      </c>
      <c r="L78" s="203">
        <v>1567953.2711726592</v>
      </c>
      <c r="M78" s="204">
        <v>615.08899979752903</v>
      </c>
      <c r="N78" s="204">
        <v>8020.7444930813826</v>
      </c>
      <c r="O78" s="196">
        <v>317.69083860866618</v>
      </c>
      <c r="P78" s="6">
        <f t="shared" si="1"/>
        <v>88.272909866751533</v>
      </c>
      <c r="Q78" s="12">
        <f t="shared" si="2"/>
        <v>14.848910810140708</v>
      </c>
      <c r="R78" s="96">
        <f t="shared" si="8"/>
        <v>65798.690267182159</v>
      </c>
      <c r="S78" s="202">
        <f t="shared" si="9"/>
        <v>23282.398278111188</v>
      </c>
      <c r="T78" s="12" t="str">
        <f t="shared" si="3"/>
        <v/>
      </c>
      <c r="U78" s="12" t="str">
        <f t="shared" si="4"/>
        <v/>
      </c>
      <c r="V78" s="6" t="str">
        <f t="shared" si="10"/>
        <v/>
      </c>
      <c r="W78" s="6" t="str">
        <f t="shared" si="11"/>
        <v/>
      </c>
      <c r="X78" s="6">
        <f t="shared" si="12"/>
        <v>100.36600000000001</v>
      </c>
      <c r="Y78" s="6">
        <f t="shared" si="13"/>
        <v>94.243722960151814</v>
      </c>
      <c r="Z78" s="6">
        <f t="shared" si="14"/>
        <v>96.544000000000011</v>
      </c>
      <c r="AA78" s="6">
        <f t="shared" si="43"/>
        <v>91.597722960151813</v>
      </c>
      <c r="AB78" s="6">
        <f t="shared" si="16"/>
        <v>100.50800000000001</v>
      </c>
      <c r="AC78" s="6">
        <f t="shared" si="17"/>
        <v>94.603516068052926</v>
      </c>
      <c r="AD78" s="6">
        <f t="shared" si="18"/>
        <v>96.98</v>
      </c>
      <c r="AE78" s="12">
        <f t="shared" ref="AE78:AE129" si="44">IF(AD78="","",AD78/$D$22)</f>
        <v>91.663516068052928</v>
      </c>
      <c r="AF78" s="6" t="str">
        <f t="shared" si="20"/>
        <v/>
      </c>
      <c r="AG78" s="6" t="str">
        <f t="shared" si="21"/>
        <v/>
      </c>
      <c r="AH78" s="12" t="str">
        <f t="shared" si="0"/>
        <v/>
      </c>
      <c r="AI78" s="6" t="str">
        <f t="shared" si="22"/>
        <v/>
      </c>
      <c r="AJ78" s="12">
        <f>'主翼(型紙出力)'!AE84/100</f>
        <v>1</v>
      </c>
      <c r="AK78" s="12">
        <f>'主翼(型紙出力)'!AG84/100</f>
        <v>0</v>
      </c>
      <c r="AL78" s="12">
        <f>'主翼(型紙出力)'!D84/1000</f>
        <v>0.88665454545454547</v>
      </c>
      <c r="AM78" s="12">
        <f t="shared" si="23"/>
        <v>14.593327618117016</v>
      </c>
      <c r="AN78" s="6">
        <f t="shared" si="24"/>
        <v>129.39240265910809</v>
      </c>
      <c r="AO78" s="6">
        <f t="shared" si="25"/>
        <v>28.884402659108076</v>
      </c>
      <c r="AP78" s="100">
        <f t="shared" si="26"/>
        <v>-1621.2282500000001</v>
      </c>
      <c r="AQ78" s="218">
        <v>668168.44620218279</v>
      </c>
      <c r="AR78" s="100">
        <f t="shared" si="27"/>
        <v>-44.158774514370961</v>
      </c>
      <c r="AS78" s="100">
        <f t="shared" si="28"/>
        <v>-87.52269108748321</v>
      </c>
      <c r="AT78" s="6">
        <f t="shared" si="29"/>
        <v>18.523519213771696</v>
      </c>
      <c r="AU78" s="6" t="str">
        <f t="shared" si="30"/>
        <v/>
      </c>
      <c r="AV78" s="6">
        <f t="shared" si="31"/>
        <v>483.53425378549395</v>
      </c>
      <c r="AW78" s="6">
        <f t="shared" si="32"/>
        <v>486.06910400102294</v>
      </c>
      <c r="AX78" s="12" t="str">
        <f t="shared" si="33"/>
        <v/>
      </c>
      <c r="AY78" s="6" t="str">
        <f t="shared" si="34"/>
        <v/>
      </c>
      <c r="AZ78" s="6">
        <f t="shared" si="35"/>
        <v>7.2530138067824262E-5</v>
      </c>
      <c r="BA78" s="6">
        <f t="shared" ref="BA78:BA132" si="45">IF(AND(E78&lt;$M$13,E78&gt;($M$10-0.01)),AVERAGE(AW78:AW79)*(10^-6)*(E79-E78),"")</f>
        <v>7.2405856044454285E-5</v>
      </c>
      <c r="BB78" s="12" t="str">
        <f t="shared" si="37"/>
        <v/>
      </c>
      <c r="BC78" s="6" t="str">
        <f t="shared" si="38"/>
        <v/>
      </c>
      <c r="BD78" s="6">
        <f t="shared" si="39"/>
        <v>0.1332741286996271</v>
      </c>
      <c r="BE78" s="6">
        <f t="shared" si="40"/>
        <v>0.11946966247334957</v>
      </c>
      <c r="BF78" s="12" t="str">
        <f t="shared" si="41"/>
        <v/>
      </c>
      <c r="BG78" s="12">
        <f t="shared" si="42"/>
        <v>0.25274379117297668</v>
      </c>
      <c r="BH78" s="23"/>
      <c r="BI78" s="23"/>
      <c r="BJ78" s="23"/>
    </row>
    <row r="79" spans="1:62">
      <c r="A79" s="22"/>
      <c r="B79" s="6"/>
      <c r="C79" s="158">
        <f>'主翼(型紙出力)'!B85</f>
        <v>34</v>
      </c>
      <c r="D79" s="227" t="str">
        <f t="shared" si="5"/>
        <v>2</v>
      </c>
      <c r="E79" s="12">
        <f>'主翼(型紙出力)'!C85</f>
        <v>5.2</v>
      </c>
      <c r="F79" s="6">
        <f t="shared" si="6"/>
        <v>49.571500000000007</v>
      </c>
      <c r="G79" s="6">
        <f t="shared" si="6"/>
        <v>46.656672967863898</v>
      </c>
      <c r="H79" s="6">
        <f t="shared" si="7"/>
        <v>47.807500000000005</v>
      </c>
      <c r="I79" s="6">
        <f t="shared" si="7"/>
        <v>45.186672967863899</v>
      </c>
      <c r="J79" s="203">
        <v>620220.76518065308</v>
      </c>
      <c r="K79" s="203">
        <v>645675.20171618788</v>
      </c>
      <c r="L79" s="203">
        <v>1259332.4126183731</v>
      </c>
      <c r="M79" s="204">
        <v>506.82245751928343</v>
      </c>
      <c r="N79" s="204">
        <v>7849.3258046024612</v>
      </c>
      <c r="O79" s="196">
        <v>314.29240072622082</v>
      </c>
      <c r="P79" s="6">
        <f t="shared" si="1"/>
        <v>85.918359090644557</v>
      </c>
      <c r="Q79" s="12">
        <f t="shared" si="2"/>
        <v>15.282867242546336</v>
      </c>
      <c r="R79" s="96">
        <f t="shared" si="8"/>
        <v>53288.350418265683</v>
      </c>
      <c r="S79" s="202">
        <f t="shared" si="9"/>
        <v>19246.210076282179</v>
      </c>
      <c r="T79" s="12" t="str">
        <f t="shared" si="3"/>
        <v/>
      </c>
      <c r="U79" s="12" t="str">
        <f t="shared" si="4"/>
        <v/>
      </c>
      <c r="V79" s="6" t="str">
        <f t="shared" si="10"/>
        <v/>
      </c>
      <c r="W79" s="6" t="str">
        <f t="shared" si="11"/>
        <v/>
      </c>
      <c r="X79" s="6" t="str">
        <f t="shared" si="12"/>
        <v/>
      </c>
      <c r="Y79" s="6" t="str">
        <f t="shared" si="13"/>
        <v/>
      </c>
      <c r="Z79" s="6" t="str">
        <f t="shared" si="14"/>
        <v/>
      </c>
      <c r="AA79" s="6" t="str">
        <f t="shared" si="43"/>
        <v/>
      </c>
      <c r="AB79" s="6">
        <f t="shared" si="16"/>
        <v>99.143000000000015</v>
      </c>
      <c r="AC79" s="6">
        <f t="shared" si="17"/>
        <v>93.313345935727796</v>
      </c>
      <c r="AD79" s="6">
        <f t="shared" si="18"/>
        <v>95.615000000000009</v>
      </c>
      <c r="AE79" s="12">
        <f t="shared" si="44"/>
        <v>90.373345935727798</v>
      </c>
      <c r="AF79" s="6" t="str">
        <f t="shared" si="20"/>
        <v/>
      </c>
      <c r="AG79" s="6" t="str">
        <f t="shared" si="21"/>
        <v/>
      </c>
      <c r="AH79" s="12" t="str">
        <f t="shared" si="0"/>
        <v/>
      </c>
      <c r="AI79" s="6" t="str">
        <f t="shared" si="22"/>
        <v/>
      </c>
      <c r="AJ79" s="12">
        <f>'主翼(型紙出力)'!AE85/100</f>
        <v>1</v>
      </c>
      <c r="AK79" s="12">
        <f>'主翼(型紙出力)'!AG85/100</f>
        <v>0</v>
      </c>
      <c r="AL79" s="12">
        <f>'主翼(型紙出力)'!D85/1000</f>
        <v>0.87814545454545456</v>
      </c>
      <c r="AM79" s="12">
        <f t="shared" si="23"/>
        <v>14.593327618117016</v>
      </c>
      <c r="AN79" s="6">
        <f t="shared" si="24"/>
        <v>128.15064314542101</v>
      </c>
      <c r="AO79" s="6">
        <f t="shared" si="25"/>
        <v>29.007643145421</v>
      </c>
      <c r="AP79" s="100">
        <f t="shared" si="26"/>
        <v>-1513.25</v>
      </c>
      <c r="AQ79" s="218">
        <v>637129.15158475202</v>
      </c>
      <c r="AR79" s="100">
        <f t="shared" si="27"/>
        <v>-50.016867489191675</v>
      </c>
      <c r="AS79" s="100">
        <f t="shared" si="28"/>
        <v>-88.229754250934263</v>
      </c>
      <c r="AT79" s="6">
        <f t="shared" si="29"/>
        <v>17.15124351016739</v>
      </c>
      <c r="AU79" s="6" t="str">
        <f t="shared" si="30"/>
        <v/>
      </c>
      <c r="AV79" s="6" t="str">
        <f t="shared" si="31"/>
        <v/>
      </c>
      <c r="AW79" s="6">
        <f t="shared" si="32"/>
        <v>479.34230992503183</v>
      </c>
      <c r="AX79" s="12" t="str">
        <f t="shared" si="33"/>
        <v/>
      </c>
      <c r="AY79" s="6" t="str">
        <f t="shared" si="34"/>
        <v/>
      </c>
      <c r="AZ79" s="6" t="str">
        <f t="shared" si="35"/>
        <v/>
      </c>
      <c r="BA79" s="6">
        <f t="shared" si="45"/>
        <v>7.1396836933055498E-5</v>
      </c>
      <c r="BB79" s="12" t="str">
        <f t="shared" si="37"/>
        <v/>
      </c>
      <c r="BC79" s="6" t="str">
        <f t="shared" si="38"/>
        <v/>
      </c>
      <c r="BD79" s="6" t="str">
        <f t="shared" si="39"/>
        <v/>
      </c>
      <c r="BE79" s="6">
        <f t="shared" si="40"/>
        <v>0.11780478093954158</v>
      </c>
      <c r="BF79" s="12" t="str">
        <f t="shared" si="41"/>
        <v/>
      </c>
      <c r="BG79" s="12">
        <f t="shared" si="42"/>
        <v>0.11780478093954158</v>
      </c>
      <c r="BH79" s="23"/>
      <c r="BI79" s="23"/>
      <c r="BJ79" s="23"/>
    </row>
    <row r="80" spans="1:62">
      <c r="A80" s="22"/>
      <c r="B80" s="6"/>
      <c r="C80" s="100">
        <f>'主翼(型紙出力)'!B86</f>
        <v>35</v>
      </c>
      <c r="D80" s="227" t="str">
        <f t="shared" si="5"/>
        <v>2</v>
      </c>
      <c r="E80" s="12">
        <f>'主翼(型紙出力)'!C86</f>
        <v>5.3500000000000005</v>
      </c>
      <c r="F80" s="6">
        <f t="shared" si="6"/>
        <v>48.889000000000003</v>
      </c>
      <c r="G80" s="6">
        <f t="shared" si="6"/>
        <v>46.011587901701319</v>
      </c>
      <c r="H80" s="6">
        <f t="shared" si="7"/>
        <v>47.125</v>
      </c>
      <c r="I80" s="6">
        <f t="shared" si="7"/>
        <v>44.54158790170132</v>
      </c>
      <c r="J80" s="203">
        <v>594495.60749379697</v>
      </c>
      <c r="K80" s="203">
        <v>618809.37603327748</v>
      </c>
      <c r="L80" s="203">
        <v>1207019.7758141165</v>
      </c>
      <c r="M80" s="204">
        <v>499.7052858995184</v>
      </c>
      <c r="N80" s="204">
        <v>7630.3949646967767</v>
      </c>
      <c r="O80" s="196">
        <v>309.87788701846063</v>
      </c>
      <c r="P80" s="6">
        <f t="shared" si="1"/>
        <v>85.918359090644557</v>
      </c>
      <c r="Q80" s="12">
        <f t="shared" si="2"/>
        <v>15.282867242546336</v>
      </c>
      <c r="R80" s="96">
        <f t="shared" si="8"/>
        <v>51078.087082462924</v>
      </c>
      <c r="S80" s="202">
        <f t="shared" si="9"/>
        <v>18446.722992895182</v>
      </c>
      <c r="T80" s="12" t="str">
        <f t="shared" si="3"/>
        <v/>
      </c>
      <c r="U80" s="12" t="str">
        <f t="shared" si="4"/>
        <v/>
      </c>
      <c r="V80" s="6" t="str">
        <f t="shared" si="10"/>
        <v/>
      </c>
      <c r="W80" s="6" t="str">
        <f t="shared" si="11"/>
        <v/>
      </c>
      <c r="X80" s="6" t="str">
        <f t="shared" si="12"/>
        <v/>
      </c>
      <c r="Y80" s="6" t="str">
        <f t="shared" si="13"/>
        <v/>
      </c>
      <c r="Z80" s="6" t="str">
        <f t="shared" si="14"/>
        <v/>
      </c>
      <c r="AA80" s="6" t="str">
        <f t="shared" si="43"/>
        <v/>
      </c>
      <c r="AB80" s="6">
        <f t="shared" si="16"/>
        <v>97.778000000000006</v>
      </c>
      <c r="AC80" s="6">
        <f t="shared" si="17"/>
        <v>92.023175803402637</v>
      </c>
      <c r="AD80" s="6">
        <f t="shared" si="18"/>
        <v>94.25</v>
      </c>
      <c r="AE80" s="12">
        <f t="shared" si="44"/>
        <v>89.083175803402639</v>
      </c>
      <c r="AF80" s="6" t="str">
        <f t="shared" si="20"/>
        <v/>
      </c>
      <c r="AG80" s="6" t="str">
        <f t="shared" si="21"/>
        <v/>
      </c>
      <c r="AH80" s="12" t="str">
        <f t="shared" si="0"/>
        <v/>
      </c>
      <c r="AI80" s="6" t="str">
        <f t="shared" si="22"/>
        <v/>
      </c>
      <c r="AJ80" s="12">
        <f>'主翼(型紙出力)'!AE86/100</f>
        <v>1</v>
      </c>
      <c r="AK80" s="12">
        <f>'主翼(型紙出力)'!AG86/100</f>
        <v>0</v>
      </c>
      <c r="AL80" s="12">
        <f>'主翼(型紙出力)'!D86/1000</f>
        <v>0.86963636363636354</v>
      </c>
      <c r="AM80" s="12">
        <f t="shared" si="23"/>
        <v>14.593327618117016</v>
      </c>
      <c r="AN80" s="6">
        <f t="shared" si="24"/>
        <v>126.90888363173397</v>
      </c>
      <c r="AO80" s="6">
        <f t="shared" si="25"/>
        <v>29.130883631733965</v>
      </c>
      <c r="AP80" s="100">
        <f t="shared" si="26"/>
        <v>-1513.25</v>
      </c>
      <c r="AQ80" s="218">
        <v>606970.50615421613</v>
      </c>
      <c r="AR80" s="100">
        <f t="shared" si="27"/>
        <v>-49.014379116753176</v>
      </c>
      <c r="AS80" s="100">
        <f t="shared" si="28"/>
        <v>-86.461364761952751</v>
      </c>
      <c r="AT80" s="6">
        <f t="shared" si="29"/>
        <v>17.502036940618641</v>
      </c>
      <c r="AU80" s="6" t="str">
        <f t="shared" si="30"/>
        <v/>
      </c>
      <c r="AV80" s="6" t="str">
        <f t="shared" si="31"/>
        <v/>
      </c>
      <c r="AW80" s="6">
        <f t="shared" si="32"/>
        <v>472.61551584903924</v>
      </c>
      <c r="AX80" s="12" t="str">
        <f t="shared" si="33"/>
        <v/>
      </c>
      <c r="AY80" s="6" t="str">
        <f t="shared" si="34"/>
        <v/>
      </c>
      <c r="AZ80" s="6" t="str">
        <f t="shared" si="35"/>
        <v/>
      </c>
      <c r="BA80" s="6">
        <f t="shared" si="45"/>
        <v>7.0387817821656616E-5</v>
      </c>
      <c r="BB80" s="12" t="str">
        <f t="shared" si="37"/>
        <v/>
      </c>
      <c r="BC80" s="6" t="str">
        <f t="shared" si="38"/>
        <v/>
      </c>
      <c r="BD80" s="6" t="str">
        <f t="shared" si="39"/>
        <v/>
      </c>
      <c r="BE80" s="6">
        <f t="shared" si="40"/>
        <v>0.11613989940573342</v>
      </c>
      <c r="BF80" s="12" t="str">
        <f t="shared" si="41"/>
        <v/>
      </c>
      <c r="BG80" s="12">
        <f t="shared" si="42"/>
        <v>0.11613989940573342</v>
      </c>
      <c r="BH80" s="23"/>
      <c r="BI80" s="23"/>
      <c r="BJ80" s="23"/>
    </row>
    <row r="81" spans="1:62">
      <c r="A81" s="22"/>
      <c r="B81" s="6"/>
      <c r="C81" s="158">
        <f>'主翼(型紙出力)'!B87</f>
        <v>36</v>
      </c>
      <c r="D81" s="227" t="str">
        <f t="shared" si="5"/>
        <v>2</v>
      </c>
      <c r="E81" s="12">
        <f>'主翼(型紙出力)'!C87</f>
        <v>5.5000000000000009</v>
      </c>
      <c r="F81" s="6">
        <f t="shared" si="6"/>
        <v>48.206499999999998</v>
      </c>
      <c r="G81" s="6">
        <f t="shared" si="6"/>
        <v>45.366502835538746</v>
      </c>
      <c r="H81" s="6">
        <f t="shared" si="7"/>
        <v>46.442499999999995</v>
      </c>
      <c r="I81" s="6">
        <f t="shared" si="7"/>
        <v>43.896502835538747</v>
      </c>
      <c r="J81" s="203">
        <v>569491.81169046531</v>
      </c>
      <c r="K81" s="203">
        <v>592699.31947859086</v>
      </c>
      <c r="L81" s="203">
        <v>1156176.2815848398</v>
      </c>
      <c r="M81" s="204">
        <v>492.58811410432821</v>
      </c>
      <c r="N81" s="204">
        <v>7414.5606231022703</v>
      </c>
      <c r="O81" s="196">
        <v>305.4633735512578</v>
      </c>
      <c r="P81" s="6">
        <f t="shared" si="1"/>
        <v>85.918359090644557</v>
      </c>
      <c r="Q81" s="12">
        <f t="shared" si="2"/>
        <v>15.282867242546336</v>
      </c>
      <c r="R81" s="96">
        <f t="shared" si="8"/>
        <v>48929.801976003124</v>
      </c>
      <c r="S81" s="202">
        <f t="shared" si="9"/>
        <v>17669.688620441979</v>
      </c>
      <c r="T81" s="12" t="str">
        <f t="shared" si="3"/>
        <v/>
      </c>
      <c r="U81" s="12" t="str">
        <f t="shared" si="4"/>
        <v/>
      </c>
      <c r="V81" s="6" t="str">
        <f t="shared" si="10"/>
        <v/>
      </c>
      <c r="W81" s="6" t="str">
        <f t="shared" si="11"/>
        <v/>
      </c>
      <c r="X81" s="6" t="str">
        <f t="shared" si="12"/>
        <v/>
      </c>
      <c r="Y81" s="6" t="str">
        <f t="shared" si="13"/>
        <v/>
      </c>
      <c r="Z81" s="6" t="str">
        <f t="shared" si="14"/>
        <v/>
      </c>
      <c r="AA81" s="6" t="str">
        <f t="shared" si="43"/>
        <v/>
      </c>
      <c r="AB81" s="6">
        <f t="shared" si="16"/>
        <v>96.412999999999997</v>
      </c>
      <c r="AC81" s="6">
        <f t="shared" si="17"/>
        <v>90.733005671077493</v>
      </c>
      <c r="AD81" s="6">
        <f t="shared" si="18"/>
        <v>92.884999999999991</v>
      </c>
      <c r="AE81" s="12">
        <f t="shared" si="44"/>
        <v>87.793005671077495</v>
      </c>
      <c r="AF81" s="6" t="str">
        <f t="shared" si="20"/>
        <v/>
      </c>
      <c r="AG81" s="6" t="str">
        <f t="shared" si="21"/>
        <v/>
      </c>
      <c r="AH81" s="12" t="str">
        <f t="shared" si="0"/>
        <v/>
      </c>
      <c r="AI81" s="6" t="str">
        <f t="shared" si="22"/>
        <v/>
      </c>
      <c r="AJ81" s="12">
        <f>'主翼(型紙出力)'!AE87/100</f>
        <v>1</v>
      </c>
      <c r="AK81" s="12">
        <f>'主翼(型紙出力)'!AG87/100</f>
        <v>0</v>
      </c>
      <c r="AL81" s="12">
        <f>'主翼(型紙出力)'!D87/1000</f>
        <v>0.86112727272727263</v>
      </c>
      <c r="AM81" s="12">
        <f t="shared" si="23"/>
        <v>14.593327618117016</v>
      </c>
      <c r="AN81" s="6">
        <f t="shared" si="24"/>
        <v>125.66712411804693</v>
      </c>
      <c r="AO81" s="6">
        <f t="shared" si="25"/>
        <v>29.254124118046931</v>
      </c>
      <c r="AP81" s="100">
        <f t="shared" si="26"/>
        <v>-1513.25</v>
      </c>
      <c r="AQ81" s="218">
        <v>577731.99004582246</v>
      </c>
      <c r="AR81" s="100">
        <f t="shared" si="27"/>
        <v>-48.009254921094552</v>
      </c>
      <c r="AS81" s="100">
        <f t="shared" si="28"/>
        <v>-84.688325680810934</v>
      </c>
      <c r="AT81" s="6">
        <f t="shared" si="29"/>
        <v>17.868460473565356</v>
      </c>
      <c r="AU81" s="6" t="str">
        <f t="shared" si="30"/>
        <v/>
      </c>
      <c r="AV81" s="6" t="str">
        <f t="shared" si="31"/>
        <v/>
      </c>
      <c r="AW81" s="6">
        <f t="shared" si="32"/>
        <v>465.88872177304671</v>
      </c>
      <c r="AX81" s="12" t="str">
        <f t="shared" si="33"/>
        <v/>
      </c>
      <c r="AY81" s="6" t="str">
        <f t="shared" si="34"/>
        <v/>
      </c>
      <c r="AZ81" s="6" t="str">
        <f t="shared" si="35"/>
        <v/>
      </c>
      <c r="BA81" s="6">
        <f t="shared" si="45"/>
        <v>6.937879871025783E-5</v>
      </c>
      <c r="BB81" s="12" t="str">
        <f t="shared" si="37"/>
        <v/>
      </c>
      <c r="BC81" s="6" t="str">
        <f t="shared" si="38"/>
        <v/>
      </c>
      <c r="BD81" s="6" t="str">
        <f t="shared" si="39"/>
        <v/>
      </c>
      <c r="BE81" s="6">
        <f t="shared" si="40"/>
        <v>0.11447501787192542</v>
      </c>
      <c r="BF81" s="12" t="str">
        <f t="shared" si="41"/>
        <v/>
      </c>
      <c r="BG81" s="12">
        <f t="shared" si="42"/>
        <v>0.11447501787192542</v>
      </c>
      <c r="BH81" s="23"/>
      <c r="BI81" s="23"/>
      <c r="BJ81" s="23"/>
    </row>
    <row r="82" spans="1:62">
      <c r="A82" s="22"/>
      <c r="B82" s="6"/>
      <c r="C82" s="100">
        <f>'主翼(型紙出力)'!B88</f>
        <v>37</v>
      </c>
      <c r="D82" s="227" t="str">
        <f t="shared" si="5"/>
        <v>2</v>
      </c>
      <c r="E82" s="12">
        <f>'主翼(型紙出力)'!C88</f>
        <v>5.6500000000000012</v>
      </c>
      <c r="F82" s="6">
        <f t="shared" si="6"/>
        <v>47.524000000000001</v>
      </c>
      <c r="G82" s="6">
        <f t="shared" si="6"/>
        <v>44.721417769376174</v>
      </c>
      <c r="H82" s="6">
        <f t="shared" si="7"/>
        <v>45.76</v>
      </c>
      <c r="I82" s="6">
        <f t="shared" si="7"/>
        <v>43.251417769376175</v>
      </c>
      <c r="J82" s="203">
        <v>545199.11937190173</v>
      </c>
      <c r="K82" s="203">
        <v>567334.24930620461</v>
      </c>
      <c r="L82" s="203">
        <v>1106781.0051736797</v>
      </c>
      <c r="M82" s="204">
        <v>485.47094212626951</v>
      </c>
      <c r="N82" s="204">
        <v>7201.8227798189455</v>
      </c>
      <c r="O82" s="196">
        <v>301.04886033520171</v>
      </c>
      <c r="P82" s="6">
        <f t="shared" si="1"/>
        <v>85.918359090644557</v>
      </c>
      <c r="Q82" s="12">
        <f t="shared" si="2"/>
        <v>15.282867242546336</v>
      </c>
      <c r="R82" s="96">
        <f t="shared" si="8"/>
        <v>46842.613714098239</v>
      </c>
      <c r="S82" s="202">
        <f t="shared" si="9"/>
        <v>16914.787168641338</v>
      </c>
      <c r="T82" s="12" t="str">
        <f t="shared" si="3"/>
        <v/>
      </c>
      <c r="U82" s="12" t="str">
        <f t="shared" si="4"/>
        <v/>
      </c>
      <c r="V82" s="6" t="str">
        <f t="shared" si="10"/>
        <v/>
      </c>
      <c r="W82" s="6" t="str">
        <f t="shared" si="11"/>
        <v/>
      </c>
      <c r="X82" s="6" t="str">
        <f t="shared" si="12"/>
        <v/>
      </c>
      <c r="Y82" s="6" t="str">
        <f t="shared" si="13"/>
        <v/>
      </c>
      <c r="Z82" s="6" t="str">
        <f t="shared" si="14"/>
        <v/>
      </c>
      <c r="AA82" s="6" t="str">
        <f t="shared" si="43"/>
        <v/>
      </c>
      <c r="AB82" s="6">
        <f t="shared" si="16"/>
        <v>95.048000000000002</v>
      </c>
      <c r="AC82" s="6">
        <f t="shared" si="17"/>
        <v>89.442835538752348</v>
      </c>
      <c r="AD82" s="6">
        <f t="shared" si="18"/>
        <v>91.52</v>
      </c>
      <c r="AE82" s="12">
        <f t="shared" si="44"/>
        <v>86.50283553875235</v>
      </c>
      <c r="AF82" s="6" t="str">
        <f t="shared" si="20"/>
        <v/>
      </c>
      <c r="AG82" s="6" t="str">
        <f t="shared" si="21"/>
        <v/>
      </c>
      <c r="AH82" s="12" t="str">
        <f t="shared" si="0"/>
        <v/>
      </c>
      <c r="AI82" s="6" t="str">
        <f t="shared" si="22"/>
        <v/>
      </c>
      <c r="AJ82" s="12">
        <f>'主翼(型紙出力)'!AE88/100</f>
        <v>1</v>
      </c>
      <c r="AK82" s="12">
        <f>'主翼(型紙出力)'!AG88/100</f>
        <v>0</v>
      </c>
      <c r="AL82" s="12">
        <f>'主翼(型紙出力)'!D88/1000</f>
        <v>0.85261818181818172</v>
      </c>
      <c r="AM82" s="12">
        <f t="shared" si="23"/>
        <v>14.593327618117016</v>
      </c>
      <c r="AN82" s="6">
        <f t="shared" si="24"/>
        <v>124.42536460435987</v>
      </c>
      <c r="AO82" s="6">
        <f t="shared" si="25"/>
        <v>29.377364604359869</v>
      </c>
      <c r="AP82" s="100">
        <f t="shared" si="26"/>
        <v>-1513.25</v>
      </c>
      <c r="AQ82" s="218">
        <v>549404.60876569699</v>
      </c>
      <c r="AR82" s="100">
        <f t="shared" si="27"/>
        <v>-47.001781278684703</v>
      </c>
      <c r="AS82" s="100">
        <f t="shared" si="28"/>
        <v>-82.911142175599949</v>
      </c>
      <c r="AT82" s="6">
        <f t="shared" si="29"/>
        <v>18.251467297302977</v>
      </c>
      <c r="AU82" s="6" t="str">
        <f t="shared" si="30"/>
        <v/>
      </c>
      <c r="AV82" s="6" t="str">
        <f t="shared" si="31"/>
        <v/>
      </c>
      <c r="AW82" s="6">
        <f t="shared" si="32"/>
        <v>459.16192769705555</v>
      </c>
      <c r="AX82" s="12" t="str">
        <f t="shared" si="33"/>
        <v/>
      </c>
      <c r="AY82" s="6" t="str">
        <f t="shared" si="34"/>
        <v/>
      </c>
      <c r="AZ82" s="6" t="str">
        <f t="shared" si="35"/>
        <v/>
      </c>
      <c r="BA82" s="6">
        <f t="shared" si="45"/>
        <v>6.8369779598859165E-5</v>
      </c>
      <c r="BB82" s="12" t="str">
        <f t="shared" si="37"/>
        <v/>
      </c>
      <c r="BC82" s="6" t="str">
        <f t="shared" si="38"/>
        <v/>
      </c>
      <c r="BD82" s="6" t="str">
        <f t="shared" si="39"/>
        <v/>
      </c>
      <c r="BE82" s="6">
        <f t="shared" si="40"/>
        <v>0.11281013633811764</v>
      </c>
      <c r="BF82" s="12" t="str">
        <f t="shared" si="41"/>
        <v/>
      </c>
      <c r="BG82" s="12">
        <f t="shared" si="42"/>
        <v>0.11281013633811764</v>
      </c>
      <c r="BH82" s="23"/>
      <c r="BI82" s="23"/>
      <c r="BJ82" s="23"/>
    </row>
    <row r="83" spans="1:62">
      <c r="A83" s="22"/>
      <c r="B83" s="6"/>
      <c r="C83" s="158">
        <f>'主翼(型紙出力)'!B89</f>
        <v>38</v>
      </c>
      <c r="D83" s="227" t="str">
        <f t="shared" si="5"/>
        <v>2</v>
      </c>
      <c r="E83" s="12">
        <f>'主翼(型紙出力)'!C89</f>
        <v>5.8000000000000016</v>
      </c>
      <c r="F83" s="6">
        <f t="shared" si="6"/>
        <v>46.841499999999996</v>
      </c>
      <c r="G83" s="6">
        <f t="shared" si="6"/>
        <v>44.076332703213602</v>
      </c>
      <c r="H83" s="6">
        <f t="shared" si="7"/>
        <v>45.077499999999993</v>
      </c>
      <c r="I83" s="6">
        <f t="shared" si="7"/>
        <v>42.606332703213603</v>
      </c>
      <c r="J83" s="203">
        <v>521607.27213936596</v>
      </c>
      <c r="K83" s="203">
        <v>542703.38277018478</v>
      </c>
      <c r="L83" s="203">
        <v>1058813.021823785</v>
      </c>
      <c r="M83" s="204">
        <v>478.35376995746782</v>
      </c>
      <c r="N83" s="204">
        <v>6992.1814348468015</v>
      </c>
      <c r="O83" s="196">
        <v>296.6343473814926</v>
      </c>
      <c r="P83" s="6">
        <f t="shared" si="1"/>
        <v>85.918359090644557</v>
      </c>
      <c r="Q83" s="12">
        <f t="shared" si="2"/>
        <v>15.282867242546336</v>
      </c>
      <c r="R83" s="96">
        <f t="shared" si="8"/>
        <v>44815.640911961607</v>
      </c>
      <c r="S83" s="202">
        <f t="shared" si="9"/>
        <v>16181.698847212223</v>
      </c>
      <c r="T83" s="12" t="str">
        <f t="shared" si="3"/>
        <v/>
      </c>
      <c r="U83" s="12" t="str">
        <f t="shared" si="4"/>
        <v/>
      </c>
      <c r="V83" s="6" t="str">
        <f t="shared" si="10"/>
        <v/>
      </c>
      <c r="W83" s="6" t="str">
        <f t="shared" si="11"/>
        <v/>
      </c>
      <c r="X83" s="6" t="str">
        <f t="shared" si="12"/>
        <v/>
      </c>
      <c r="Y83" s="6" t="str">
        <f t="shared" si="13"/>
        <v/>
      </c>
      <c r="Z83" s="6" t="str">
        <f t="shared" si="14"/>
        <v/>
      </c>
      <c r="AA83" s="6" t="str">
        <f t="shared" si="43"/>
        <v/>
      </c>
      <c r="AB83" s="6">
        <f t="shared" si="16"/>
        <v>93.682999999999993</v>
      </c>
      <c r="AC83" s="6">
        <f t="shared" si="17"/>
        <v>88.152665406427204</v>
      </c>
      <c r="AD83" s="6">
        <f t="shared" si="18"/>
        <v>90.154999999999987</v>
      </c>
      <c r="AE83" s="12">
        <f t="shared" si="44"/>
        <v>85.212665406427206</v>
      </c>
      <c r="AF83" s="6" t="str">
        <f t="shared" si="20"/>
        <v/>
      </c>
      <c r="AG83" s="6" t="str">
        <f t="shared" si="21"/>
        <v/>
      </c>
      <c r="AH83" s="12" t="str">
        <f t="shared" si="0"/>
        <v/>
      </c>
      <c r="AI83" s="6" t="str">
        <f t="shared" si="22"/>
        <v/>
      </c>
      <c r="AJ83" s="12">
        <f>'主翼(型紙出力)'!AE89/100</f>
        <v>1</v>
      </c>
      <c r="AK83" s="12">
        <f>'主翼(型紙出力)'!AG89/100</f>
        <v>0</v>
      </c>
      <c r="AL83" s="12">
        <f>'主翼(型紙出力)'!D89/1000</f>
        <v>0.84410909090909081</v>
      </c>
      <c r="AM83" s="12">
        <f t="shared" si="23"/>
        <v>14.593327618117016</v>
      </c>
      <c r="AN83" s="6">
        <f t="shared" si="24"/>
        <v>123.18360509067281</v>
      </c>
      <c r="AO83" s="6">
        <f t="shared" si="25"/>
        <v>29.500605090672821</v>
      </c>
      <c r="AP83" s="100">
        <f t="shared" si="26"/>
        <v>-1513.25</v>
      </c>
      <c r="AQ83" s="218">
        <v>521979.37131071207</v>
      </c>
      <c r="AR83" s="100">
        <f t="shared" si="27"/>
        <v>-45.992286145398886</v>
      </c>
      <c r="AS83" s="100">
        <f t="shared" si="28"/>
        <v>-81.130392760483772</v>
      </c>
      <c r="AT83" s="6">
        <f t="shared" si="29"/>
        <v>18.652072897853142</v>
      </c>
      <c r="AU83" s="6" t="str">
        <f t="shared" si="30"/>
        <v/>
      </c>
      <c r="AV83" s="6" t="str">
        <f t="shared" si="31"/>
        <v/>
      </c>
      <c r="AW83" s="6">
        <f t="shared" si="32"/>
        <v>452.43513362106444</v>
      </c>
      <c r="AX83" s="12" t="str">
        <f t="shared" si="33"/>
        <v/>
      </c>
      <c r="AY83" s="6" t="str">
        <f t="shared" si="34"/>
        <v/>
      </c>
      <c r="AZ83" s="6" t="str">
        <f t="shared" si="35"/>
        <v/>
      </c>
      <c r="BA83" s="6">
        <f t="shared" si="45"/>
        <v>6.7360760487460378E-5</v>
      </c>
      <c r="BB83" s="12" t="str">
        <f t="shared" si="37"/>
        <v/>
      </c>
      <c r="BC83" s="6" t="str">
        <f t="shared" si="38"/>
        <v/>
      </c>
      <c r="BD83" s="6" t="str">
        <f t="shared" si="39"/>
        <v/>
      </c>
      <c r="BE83" s="6">
        <f t="shared" si="40"/>
        <v>0.11114525480430963</v>
      </c>
      <c r="BF83" s="12" t="str">
        <f t="shared" si="41"/>
        <v/>
      </c>
      <c r="BG83" s="12">
        <f t="shared" si="42"/>
        <v>0.11114525480430963</v>
      </c>
      <c r="BH83" s="23"/>
      <c r="BI83" s="23"/>
      <c r="BJ83" s="23"/>
    </row>
    <row r="84" spans="1:62">
      <c r="A84" s="22"/>
      <c r="B84" s="6"/>
      <c r="C84" s="100">
        <f>'主翼(型紙出力)'!B90</f>
        <v>39</v>
      </c>
      <c r="D84" s="227" t="str">
        <f t="shared" si="5"/>
        <v>2</v>
      </c>
      <c r="E84" s="12">
        <f>'主翼(型紙出力)'!C90</f>
        <v>5.950000000000002</v>
      </c>
      <c r="F84" s="6">
        <f t="shared" si="6"/>
        <v>46.158999999999999</v>
      </c>
      <c r="G84" s="6">
        <f t="shared" si="6"/>
        <v>43.43124763705103</v>
      </c>
      <c r="H84" s="6">
        <f t="shared" si="7"/>
        <v>44.394999999999996</v>
      </c>
      <c r="I84" s="6">
        <f t="shared" si="7"/>
        <v>41.961247637051031</v>
      </c>
      <c r="J84" s="203">
        <v>498706.01159410423</v>
      </c>
      <c r="K84" s="203">
        <v>518795.93712462857</v>
      </c>
      <c r="L84" s="203">
        <v>1012251.4067782853</v>
      </c>
      <c r="M84" s="204">
        <v>471.23659758959366</v>
      </c>
      <c r="N84" s="204">
        <v>6785.6365881858383</v>
      </c>
      <c r="O84" s="196">
        <v>292.21983470202974</v>
      </c>
      <c r="P84" s="6">
        <f t="shared" si="1"/>
        <v>85.918359090644557</v>
      </c>
      <c r="Q84" s="12">
        <f t="shared" si="2"/>
        <v>15.282867242546336</v>
      </c>
      <c r="R84" s="96">
        <f t="shared" si="8"/>
        <v>42848.002184805402</v>
      </c>
      <c r="S84" s="202">
        <f t="shared" si="9"/>
        <v>15470.103865873303</v>
      </c>
      <c r="T84" s="12" t="str">
        <f t="shared" si="3"/>
        <v/>
      </c>
      <c r="U84" s="12" t="str">
        <f t="shared" si="4"/>
        <v/>
      </c>
      <c r="V84" s="6" t="str">
        <f t="shared" si="10"/>
        <v/>
      </c>
      <c r="W84" s="6" t="str">
        <f t="shared" si="11"/>
        <v/>
      </c>
      <c r="X84" s="6" t="str">
        <f t="shared" si="12"/>
        <v/>
      </c>
      <c r="Y84" s="6" t="str">
        <f t="shared" si="13"/>
        <v/>
      </c>
      <c r="Z84" s="6" t="str">
        <f t="shared" si="14"/>
        <v/>
      </c>
      <c r="AA84" s="6" t="str">
        <f t="shared" si="43"/>
        <v/>
      </c>
      <c r="AB84" s="6">
        <f t="shared" si="16"/>
        <v>92.317999999999998</v>
      </c>
      <c r="AC84" s="6">
        <f t="shared" si="17"/>
        <v>86.862495274102059</v>
      </c>
      <c r="AD84" s="6">
        <f t="shared" si="18"/>
        <v>88.789999999999992</v>
      </c>
      <c r="AE84" s="12">
        <f t="shared" si="44"/>
        <v>83.922495274102062</v>
      </c>
      <c r="AF84" s="6" t="str">
        <f t="shared" si="20"/>
        <v/>
      </c>
      <c r="AG84" s="6" t="str">
        <f t="shared" si="21"/>
        <v/>
      </c>
      <c r="AH84" s="12" t="str">
        <f t="shared" si="0"/>
        <v/>
      </c>
      <c r="AI84" s="6" t="str">
        <f t="shared" si="22"/>
        <v/>
      </c>
      <c r="AJ84" s="12">
        <f>'主翼(型紙出力)'!AE90/100</f>
        <v>1</v>
      </c>
      <c r="AK84" s="12">
        <f>'主翼(型紙出力)'!AG90/100</f>
        <v>0</v>
      </c>
      <c r="AL84" s="12">
        <f>'主翼(型紙出力)'!D90/1000</f>
        <v>0.8355999999999999</v>
      </c>
      <c r="AM84" s="12">
        <f t="shared" si="23"/>
        <v>14.593327618117016</v>
      </c>
      <c r="AN84" s="6">
        <f t="shared" si="24"/>
        <v>121.94184557698577</v>
      </c>
      <c r="AO84" s="6">
        <f t="shared" si="25"/>
        <v>29.623845576985772</v>
      </c>
      <c r="AP84" s="100">
        <f t="shared" si="26"/>
        <v>-1513.25</v>
      </c>
      <c r="AQ84" s="218">
        <v>495447.2520962882</v>
      </c>
      <c r="AR84" s="100">
        <f t="shared" si="27"/>
        <v>-44.981140615207373</v>
      </c>
      <c r="AS84" s="100">
        <f t="shared" si="28"/>
        <v>-79.346732045225934</v>
      </c>
      <c r="AT84" s="6">
        <f t="shared" si="29"/>
        <v>19.071358844841651</v>
      </c>
      <c r="AU84" s="6" t="str">
        <f t="shared" si="30"/>
        <v/>
      </c>
      <c r="AV84" s="6" t="str">
        <f t="shared" si="31"/>
        <v/>
      </c>
      <c r="AW84" s="6">
        <f t="shared" si="32"/>
        <v>445.70833954507191</v>
      </c>
      <c r="AX84" s="12" t="str">
        <f t="shared" si="33"/>
        <v/>
      </c>
      <c r="AY84" s="6" t="str">
        <f t="shared" si="34"/>
        <v/>
      </c>
      <c r="AZ84" s="6" t="str">
        <f t="shared" si="35"/>
        <v/>
      </c>
      <c r="BA84" s="6">
        <f t="shared" si="45"/>
        <v>6.635174137606151E-5</v>
      </c>
      <c r="BB84" s="12" t="str">
        <f t="shared" si="37"/>
        <v/>
      </c>
      <c r="BC84" s="6" t="str">
        <f t="shared" si="38"/>
        <v/>
      </c>
      <c r="BD84" s="6" t="str">
        <f t="shared" si="39"/>
        <v/>
      </c>
      <c r="BE84" s="6">
        <f t="shared" si="40"/>
        <v>0.1094803732705015</v>
      </c>
      <c r="BF84" s="12" t="str">
        <f t="shared" si="41"/>
        <v/>
      </c>
      <c r="BG84" s="12">
        <f t="shared" si="42"/>
        <v>0.1094803732705015</v>
      </c>
      <c r="BH84" s="23"/>
      <c r="BI84" s="23"/>
      <c r="BJ84" s="23"/>
    </row>
    <row r="85" spans="1:62">
      <c r="A85" s="22"/>
      <c r="B85" s="6"/>
      <c r="C85" s="158">
        <f>'主翼(型紙出力)'!B91</f>
        <v>40</v>
      </c>
      <c r="D85" s="227" t="str">
        <f t="shared" si="5"/>
        <v>2</v>
      </c>
      <c r="E85" s="12">
        <f>'主翼(型紙出力)'!C91</f>
        <v>6.1000000000000023</v>
      </c>
      <c r="F85" s="6">
        <f t="shared" si="6"/>
        <v>45.476499999999994</v>
      </c>
      <c r="G85" s="6">
        <f t="shared" si="6"/>
        <v>42.786162570888457</v>
      </c>
      <c r="H85" s="6">
        <f t="shared" si="7"/>
        <v>43.712499999999991</v>
      </c>
      <c r="I85" s="6">
        <f t="shared" si="7"/>
        <v>41.316162570888459</v>
      </c>
      <c r="J85" s="203">
        <v>476485.0793373647</v>
      </c>
      <c r="K85" s="203">
        <v>495601.12962359755</v>
      </c>
      <c r="L85" s="203">
        <v>967075.23528029909</v>
      </c>
      <c r="M85" s="204">
        <v>464.11942501381742</v>
      </c>
      <c r="N85" s="204">
        <v>6582.1882398360522</v>
      </c>
      <c r="O85" s="196">
        <v>287.80532230942197</v>
      </c>
      <c r="P85" s="6">
        <f t="shared" si="1"/>
        <v>85.918359090644557</v>
      </c>
      <c r="Q85" s="12">
        <f t="shared" si="2"/>
        <v>15.282867242546336</v>
      </c>
      <c r="R85" s="96">
        <f t="shared" si="8"/>
        <v>40938.816147841957</v>
      </c>
      <c r="S85" s="202">
        <f t="shared" si="9"/>
        <v>14779.682434343074</v>
      </c>
      <c r="T85" s="12" t="str">
        <f t="shared" si="3"/>
        <v/>
      </c>
      <c r="U85" s="12" t="str">
        <f t="shared" si="4"/>
        <v/>
      </c>
      <c r="V85" s="6" t="str">
        <f t="shared" si="10"/>
        <v/>
      </c>
      <c r="W85" s="6" t="str">
        <f t="shared" si="11"/>
        <v/>
      </c>
      <c r="X85" s="6" t="str">
        <f t="shared" si="12"/>
        <v/>
      </c>
      <c r="Y85" s="6" t="str">
        <f t="shared" si="13"/>
        <v/>
      </c>
      <c r="Z85" s="6" t="str">
        <f t="shared" si="14"/>
        <v/>
      </c>
      <c r="AA85" s="6" t="str">
        <f t="shared" si="43"/>
        <v/>
      </c>
      <c r="AB85" s="6">
        <f t="shared" si="16"/>
        <v>90.952999999999989</v>
      </c>
      <c r="AC85" s="6">
        <f t="shared" si="17"/>
        <v>85.572325141776915</v>
      </c>
      <c r="AD85" s="6">
        <f t="shared" si="18"/>
        <v>87.424999999999983</v>
      </c>
      <c r="AE85" s="12">
        <f t="shared" si="44"/>
        <v>82.632325141776917</v>
      </c>
      <c r="AF85" s="6" t="str">
        <f t="shared" si="20"/>
        <v/>
      </c>
      <c r="AG85" s="6" t="str">
        <f t="shared" si="21"/>
        <v/>
      </c>
      <c r="AH85" s="12" t="str">
        <f t="shared" si="0"/>
        <v/>
      </c>
      <c r="AI85" s="6" t="str">
        <f t="shared" si="22"/>
        <v/>
      </c>
      <c r="AJ85" s="12">
        <f>'主翼(型紙出力)'!AE91/100</f>
        <v>1</v>
      </c>
      <c r="AK85" s="12">
        <f>'主翼(型紙出力)'!AG91/100</f>
        <v>0</v>
      </c>
      <c r="AL85" s="12">
        <f>'主翼(型紙出力)'!D91/1000</f>
        <v>0.82709090909090888</v>
      </c>
      <c r="AM85" s="12">
        <f t="shared" si="23"/>
        <v>14.593327618117016</v>
      </c>
      <c r="AN85" s="6">
        <f t="shared" si="24"/>
        <v>120.70008606329871</v>
      </c>
      <c r="AO85" s="6">
        <f t="shared" si="25"/>
        <v>29.747086063298724</v>
      </c>
      <c r="AP85" s="100">
        <f t="shared" si="26"/>
        <v>-1513.25</v>
      </c>
      <c r="AQ85" s="218">
        <v>469799.17044055299</v>
      </c>
      <c r="AR85" s="100">
        <f t="shared" si="27"/>
        <v>-43.968762118105545</v>
      </c>
      <c r="AS85" s="100">
        <f t="shared" si="28"/>
        <v>-77.560896376338306</v>
      </c>
      <c r="AT85" s="6">
        <f t="shared" si="29"/>
        <v>19.510475906021775</v>
      </c>
      <c r="AU85" s="6" t="str">
        <f t="shared" si="30"/>
        <v/>
      </c>
      <c r="AV85" s="6" t="str">
        <f t="shared" si="31"/>
        <v/>
      </c>
      <c r="AW85" s="6">
        <f t="shared" si="32"/>
        <v>438.98154546907932</v>
      </c>
      <c r="AX85" s="12" t="str">
        <f t="shared" si="33"/>
        <v/>
      </c>
      <c r="AY85" s="6" t="str">
        <f t="shared" si="34"/>
        <v/>
      </c>
      <c r="AZ85" s="6" t="str">
        <f t="shared" si="35"/>
        <v/>
      </c>
      <c r="BA85" s="6">
        <f t="shared" si="45"/>
        <v>6.5342722264662723E-5</v>
      </c>
      <c r="BB85" s="12" t="str">
        <f t="shared" si="37"/>
        <v/>
      </c>
      <c r="BC85" s="6" t="str">
        <f t="shared" si="38"/>
        <v/>
      </c>
      <c r="BD85" s="6" t="str">
        <f t="shared" si="39"/>
        <v/>
      </c>
      <c r="BE85" s="6">
        <f t="shared" si="40"/>
        <v>0.1078154917366935</v>
      </c>
      <c r="BF85" s="12" t="str">
        <f t="shared" si="41"/>
        <v/>
      </c>
      <c r="BG85" s="12">
        <f t="shared" si="42"/>
        <v>0.1078154917366935</v>
      </c>
      <c r="BH85" s="23"/>
      <c r="BI85" s="23"/>
      <c r="BJ85" s="23"/>
    </row>
    <row r="86" spans="1:62">
      <c r="A86" s="22"/>
      <c r="B86" s="6"/>
      <c r="C86" s="100">
        <f>'主翼(型紙出力)'!B92</f>
        <v>41</v>
      </c>
      <c r="D86" s="227" t="str">
        <f t="shared" si="5"/>
        <v>2</v>
      </c>
      <c r="E86" s="12">
        <f>'主翼(型紙出力)'!C92</f>
        <v>6.2500000000000027</v>
      </c>
      <c r="F86" s="6">
        <f t="shared" si="6"/>
        <v>44.79399999999999</v>
      </c>
      <c r="G86" s="6">
        <f t="shared" si="6"/>
        <v>42.141077504725885</v>
      </c>
      <c r="H86" s="6">
        <f t="shared" si="7"/>
        <v>43.029999999999987</v>
      </c>
      <c r="I86" s="6">
        <f t="shared" si="7"/>
        <v>40.671077504725886</v>
      </c>
      <c r="J86" s="203">
        <v>454934.21697040036</v>
      </c>
      <c r="K86" s="203">
        <v>473108.17752117163</v>
      </c>
      <c r="L86" s="203">
        <v>923263.58257299045</v>
      </c>
      <c r="M86" s="204">
        <v>457.00225222077665</v>
      </c>
      <c r="N86" s="204">
        <v>6381.8363897974477</v>
      </c>
      <c r="O86" s="196">
        <v>283.3908102170717</v>
      </c>
      <c r="P86" s="6">
        <f t="shared" si="1"/>
        <v>85.918359090644557</v>
      </c>
      <c r="Q86" s="12">
        <f t="shared" si="2"/>
        <v>15.282867242546336</v>
      </c>
      <c r="R86" s="96">
        <f t="shared" si="8"/>
        <v>39087.201416284064</v>
      </c>
      <c r="S86" s="202">
        <f t="shared" si="9"/>
        <v>14110.114762340731</v>
      </c>
      <c r="T86" s="12" t="str">
        <f t="shared" si="3"/>
        <v/>
      </c>
      <c r="U86" s="12" t="str">
        <f t="shared" si="4"/>
        <v/>
      </c>
      <c r="V86" s="6" t="str">
        <f t="shared" si="10"/>
        <v/>
      </c>
      <c r="W86" s="6" t="str">
        <f t="shared" si="11"/>
        <v/>
      </c>
      <c r="X86" s="6" t="str">
        <f t="shared" si="12"/>
        <v/>
      </c>
      <c r="Y86" s="6" t="str">
        <f t="shared" si="13"/>
        <v/>
      </c>
      <c r="Z86" s="6" t="str">
        <f t="shared" si="14"/>
        <v/>
      </c>
      <c r="AA86" s="6" t="str">
        <f t="shared" si="43"/>
        <v/>
      </c>
      <c r="AB86" s="6">
        <f t="shared" si="16"/>
        <v>89.58799999999998</v>
      </c>
      <c r="AC86" s="6">
        <f t="shared" si="17"/>
        <v>84.28215500945177</v>
      </c>
      <c r="AD86" s="6">
        <f t="shared" si="18"/>
        <v>86.059999999999974</v>
      </c>
      <c r="AE86" s="12">
        <f t="shared" si="44"/>
        <v>81.342155009451773</v>
      </c>
      <c r="AF86" s="6" t="str">
        <f t="shared" si="20"/>
        <v/>
      </c>
      <c r="AG86" s="6" t="str">
        <f t="shared" si="21"/>
        <v/>
      </c>
      <c r="AH86" s="12" t="str">
        <f t="shared" si="0"/>
        <v/>
      </c>
      <c r="AI86" s="6" t="str">
        <f t="shared" si="22"/>
        <v/>
      </c>
      <c r="AJ86" s="12">
        <f>'主翼(型紙出力)'!AE92/100</f>
        <v>1</v>
      </c>
      <c r="AK86" s="12">
        <f>'主翼(型紙出力)'!AG92/100</f>
        <v>0</v>
      </c>
      <c r="AL86" s="12">
        <f>'主翼(型紙出力)'!D92/1000</f>
        <v>0.81858181818181797</v>
      </c>
      <c r="AM86" s="12">
        <f t="shared" si="23"/>
        <v>14.593327618117016</v>
      </c>
      <c r="AN86" s="6">
        <f t="shared" si="24"/>
        <v>119.45832654961167</v>
      </c>
      <c r="AO86" s="6">
        <f t="shared" si="25"/>
        <v>29.87032654961169</v>
      </c>
      <c r="AP86" s="100">
        <f t="shared" si="26"/>
        <v>-1513.25</v>
      </c>
      <c r="AQ86" s="218">
        <v>445025.9721922896</v>
      </c>
      <c r="AR86" s="100">
        <f t="shared" si="27"/>
        <v>-42.955618113419</v>
      </c>
      <c r="AS86" s="100">
        <f t="shared" si="28"/>
        <v>-75.773710352071234</v>
      </c>
      <c r="AT86" s="6">
        <f t="shared" si="29"/>
        <v>19.970646718616653</v>
      </c>
      <c r="AU86" s="6" t="str">
        <f t="shared" si="30"/>
        <v/>
      </c>
      <c r="AV86" s="6" t="str">
        <f t="shared" si="31"/>
        <v/>
      </c>
      <c r="AW86" s="6">
        <f t="shared" si="32"/>
        <v>432.25475139308821</v>
      </c>
      <c r="AX86" s="12" t="str">
        <f t="shared" si="33"/>
        <v/>
      </c>
      <c r="AY86" s="6" t="str">
        <f t="shared" si="34"/>
        <v/>
      </c>
      <c r="AZ86" s="6" t="str">
        <f t="shared" si="35"/>
        <v/>
      </c>
      <c r="BA86" s="6">
        <f t="shared" si="45"/>
        <v>6.4333703153263936E-5</v>
      </c>
      <c r="BB86" s="12" t="str">
        <f t="shared" si="37"/>
        <v/>
      </c>
      <c r="BC86" s="6" t="str">
        <f t="shared" si="38"/>
        <v/>
      </c>
      <c r="BD86" s="6" t="str">
        <f t="shared" si="39"/>
        <v/>
      </c>
      <c r="BE86" s="6">
        <f t="shared" si="40"/>
        <v>0.10615061020288551</v>
      </c>
      <c r="BF86" s="12" t="str">
        <f t="shared" si="41"/>
        <v/>
      </c>
      <c r="BG86" s="12">
        <f t="shared" si="42"/>
        <v>0.10615061020288551</v>
      </c>
      <c r="BH86" s="23"/>
      <c r="BI86" s="23"/>
      <c r="BJ86" s="23"/>
    </row>
    <row r="87" spans="1:62">
      <c r="A87" s="22"/>
      <c r="B87" s="6"/>
      <c r="C87" s="158">
        <f>'主翼(型紙出力)'!B93</f>
        <v>42</v>
      </c>
      <c r="D87" s="227" t="str">
        <f t="shared" si="5"/>
        <v>2</v>
      </c>
      <c r="E87" s="12">
        <f>'主翼(型紙出力)'!C93</f>
        <v>6.400000000000003</v>
      </c>
      <c r="F87" s="6">
        <f t="shared" si="6"/>
        <v>44.111499999999992</v>
      </c>
      <c r="G87" s="6">
        <f t="shared" si="6"/>
        <v>41.495992438563313</v>
      </c>
      <c r="H87" s="6">
        <f t="shared" si="7"/>
        <v>42.347499999999989</v>
      </c>
      <c r="I87" s="6">
        <f t="shared" si="7"/>
        <v>40.025992438563314</v>
      </c>
      <c r="J87" s="203">
        <v>434043.1660944582</v>
      </c>
      <c r="K87" s="203">
        <v>451306.29807142634</v>
      </c>
      <c r="L87" s="203">
        <v>880795.52389946789</v>
      </c>
      <c r="M87" s="204">
        <v>449.88507920056594</v>
      </c>
      <c r="N87" s="204">
        <v>6184.5810380700232</v>
      </c>
      <c r="O87" s="196">
        <v>278.97629843923329</v>
      </c>
      <c r="P87" s="6">
        <f t="shared" si="1"/>
        <v>85.918359090644557</v>
      </c>
      <c r="Q87" s="12">
        <f t="shared" si="2"/>
        <v>15.282867242546336</v>
      </c>
      <c r="R87" s="96">
        <f t="shared" si="8"/>
        <v>37292.276605343934</v>
      </c>
      <c r="S87" s="202">
        <f t="shared" si="9"/>
        <v>13461.081059584618</v>
      </c>
      <c r="T87" s="12" t="str">
        <f t="shared" si="3"/>
        <v/>
      </c>
      <c r="U87" s="12" t="str">
        <f t="shared" si="4"/>
        <v/>
      </c>
      <c r="V87" s="6" t="str">
        <f t="shared" si="10"/>
        <v/>
      </c>
      <c r="W87" s="6" t="str">
        <f t="shared" si="11"/>
        <v/>
      </c>
      <c r="X87" s="6" t="str">
        <f t="shared" si="12"/>
        <v/>
      </c>
      <c r="Y87" s="6" t="str">
        <f t="shared" si="13"/>
        <v/>
      </c>
      <c r="Z87" s="6" t="str">
        <f t="shared" si="14"/>
        <v/>
      </c>
      <c r="AA87" s="6" t="str">
        <f t="shared" si="43"/>
        <v/>
      </c>
      <c r="AB87" s="6">
        <f t="shared" si="16"/>
        <v>88.222999999999985</v>
      </c>
      <c r="AC87" s="6">
        <f t="shared" si="17"/>
        <v>82.991984877126626</v>
      </c>
      <c r="AD87" s="6">
        <f t="shared" si="18"/>
        <v>84.694999999999979</v>
      </c>
      <c r="AE87" s="12">
        <f t="shared" si="44"/>
        <v>80.051984877126628</v>
      </c>
      <c r="AF87" s="6" t="str">
        <f t="shared" si="20"/>
        <v/>
      </c>
      <c r="AG87" s="6" t="str">
        <f t="shared" si="21"/>
        <v/>
      </c>
      <c r="AH87" s="12" t="str">
        <f t="shared" si="0"/>
        <v/>
      </c>
      <c r="AI87" s="6" t="str">
        <f t="shared" si="22"/>
        <v/>
      </c>
      <c r="AJ87" s="12">
        <f>'主翼(型紙出力)'!AE93/100</f>
        <v>1</v>
      </c>
      <c r="AK87" s="12">
        <f>'主翼(型紙出力)'!AG93/100</f>
        <v>0</v>
      </c>
      <c r="AL87" s="12">
        <f>'主翼(型紙出力)'!D93/1000</f>
        <v>0.81007272727272706</v>
      </c>
      <c r="AM87" s="12">
        <f t="shared" si="23"/>
        <v>14.593327618117016</v>
      </c>
      <c r="AN87" s="6">
        <f t="shared" si="24"/>
        <v>118.21656703592461</v>
      </c>
      <c r="AO87" s="6">
        <f t="shared" si="25"/>
        <v>29.993567035924627</v>
      </c>
      <c r="AP87" s="100">
        <f t="shared" si="26"/>
        <v>-1513.25</v>
      </c>
      <c r="AQ87" s="218">
        <v>421118.41443390155</v>
      </c>
      <c r="AR87" s="100">
        <f t="shared" si="27"/>
        <v>-41.942230448131404</v>
      </c>
      <c r="AS87" s="100">
        <f t="shared" si="28"/>
        <v>-73.986094510503918</v>
      </c>
      <c r="AT87" s="6">
        <f t="shared" si="29"/>
        <v>20.453167720390507</v>
      </c>
      <c r="AU87" s="6" t="str">
        <f t="shared" si="30"/>
        <v/>
      </c>
      <c r="AV87" s="6" t="str">
        <f t="shared" si="31"/>
        <v/>
      </c>
      <c r="AW87" s="6">
        <f t="shared" si="32"/>
        <v>425.52795731709568</v>
      </c>
      <c r="AX87" s="12" t="str">
        <f t="shared" si="33"/>
        <v/>
      </c>
      <c r="AY87" s="6" t="str">
        <f t="shared" si="34"/>
        <v/>
      </c>
      <c r="AZ87" s="6" t="str">
        <f t="shared" si="35"/>
        <v/>
      </c>
      <c r="BA87" s="6">
        <f t="shared" si="45"/>
        <v>6.3324684041865162E-5</v>
      </c>
      <c r="BB87" s="12" t="str">
        <f t="shared" si="37"/>
        <v/>
      </c>
      <c r="BC87" s="6" t="str">
        <f t="shared" si="38"/>
        <v/>
      </c>
      <c r="BD87" s="6" t="str">
        <f t="shared" si="39"/>
        <v/>
      </c>
      <c r="BE87" s="6">
        <f t="shared" si="40"/>
        <v>0.10448572866907753</v>
      </c>
      <c r="BF87" s="12" t="str">
        <f t="shared" si="41"/>
        <v/>
      </c>
      <c r="BG87" s="12">
        <f t="shared" si="42"/>
        <v>0.10448572866907753</v>
      </c>
      <c r="BH87" s="23"/>
      <c r="BI87" s="23"/>
      <c r="BJ87" s="23"/>
    </row>
    <row r="88" spans="1:62">
      <c r="A88" s="22"/>
      <c r="B88" s="6"/>
      <c r="C88" s="100">
        <f>'主翼(型紙出力)'!B94</f>
        <v>43</v>
      </c>
      <c r="D88" s="227" t="str">
        <f t="shared" si="5"/>
        <v>2</v>
      </c>
      <c r="E88" s="12">
        <f>'主翼(型紙出力)'!C94</f>
        <v>6.5500000000000034</v>
      </c>
      <c r="F88" s="6">
        <f t="shared" si="6"/>
        <v>43.428999999999995</v>
      </c>
      <c r="G88" s="6">
        <f t="shared" si="6"/>
        <v>40.850907372400748</v>
      </c>
      <c r="H88" s="6">
        <f t="shared" si="7"/>
        <v>41.664999999999992</v>
      </c>
      <c r="I88" s="6">
        <f t="shared" si="7"/>
        <v>39.380907372400749</v>
      </c>
      <c r="J88" s="203">
        <v>413801.66831078753</v>
      </c>
      <c r="K88" s="203">
        <v>430184.7085284426</v>
      </c>
      <c r="L88" s="203">
        <v>839650.13450288225</v>
      </c>
      <c r="M88" s="204">
        <v>442.76790594264338</v>
      </c>
      <c r="N88" s="204">
        <v>5990.4221846537803</v>
      </c>
      <c r="O88" s="196">
        <v>274.56178699107136</v>
      </c>
      <c r="P88" s="6">
        <f t="shared" si="1"/>
        <v>85.918359090644557</v>
      </c>
      <c r="Q88" s="12">
        <f t="shared" si="2"/>
        <v>15.282867242546336</v>
      </c>
      <c r="R88" s="96">
        <f t="shared" si="8"/>
        <v>35553.160330234037</v>
      </c>
      <c r="S88" s="202">
        <f t="shared" si="9"/>
        <v>12832.261535793727</v>
      </c>
      <c r="T88" s="12" t="str">
        <f t="shared" si="3"/>
        <v/>
      </c>
      <c r="U88" s="12" t="str">
        <f t="shared" si="4"/>
        <v/>
      </c>
      <c r="V88" s="6" t="str">
        <f t="shared" si="10"/>
        <v/>
      </c>
      <c r="W88" s="6" t="str">
        <f t="shared" si="11"/>
        <v/>
      </c>
      <c r="X88" s="6" t="str">
        <f t="shared" si="12"/>
        <v/>
      </c>
      <c r="Y88" s="6" t="str">
        <f t="shared" si="13"/>
        <v/>
      </c>
      <c r="Z88" s="6" t="str">
        <f t="shared" si="14"/>
        <v/>
      </c>
      <c r="AA88" s="6" t="str">
        <f t="shared" si="43"/>
        <v/>
      </c>
      <c r="AB88" s="6">
        <f t="shared" si="16"/>
        <v>86.85799999999999</v>
      </c>
      <c r="AC88" s="6">
        <f t="shared" si="17"/>
        <v>81.701814744801496</v>
      </c>
      <c r="AD88" s="6">
        <f t="shared" si="18"/>
        <v>83.329999999999984</v>
      </c>
      <c r="AE88" s="12">
        <f t="shared" si="44"/>
        <v>78.761814744801498</v>
      </c>
      <c r="AF88" s="6" t="str">
        <f t="shared" si="20"/>
        <v/>
      </c>
      <c r="AG88" s="6" t="str">
        <f t="shared" si="21"/>
        <v/>
      </c>
      <c r="AH88" s="12" t="str">
        <f t="shared" si="0"/>
        <v/>
      </c>
      <c r="AI88" s="6" t="str">
        <f t="shared" si="22"/>
        <v/>
      </c>
      <c r="AJ88" s="12">
        <f>'主翼(型紙出力)'!AE94/100</f>
        <v>1</v>
      </c>
      <c r="AK88" s="12">
        <f>'主翼(型紙出力)'!AG94/100</f>
        <v>0</v>
      </c>
      <c r="AL88" s="12">
        <f>'主翼(型紙出力)'!D94/1000</f>
        <v>0.80156363636363614</v>
      </c>
      <c r="AM88" s="12">
        <f t="shared" si="23"/>
        <v>14.593327618117016</v>
      </c>
      <c r="AN88" s="6">
        <f t="shared" si="24"/>
        <v>116.97480752223755</v>
      </c>
      <c r="AO88" s="6">
        <f t="shared" si="25"/>
        <v>30.116807522237565</v>
      </c>
      <c r="AP88" s="100">
        <f t="shared" si="26"/>
        <v>-1513.25</v>
      </c>
      <c r="AQ88" s="218">
        <v>398067.14584437781</v>
      </c>
      <c r="AR88" s="100">
        <f t="shared" si="27"/>
        <v>-40.929179728488826</v>
      </c>
      <c r="AS88" s="100">
        <f t="shared" si="28"/>
        <v>-72.199073041054405</v>
      </c>
      <c r="AT88" s="6">
        <f t="shared" si="29"/>
        <v>20.959410367215156</v>
      </c>
      <c r="AU88" s="6" t="str">
        <f t="shared" si="30"/>
        <v/>
      </c>
      <c r="AV88" s="6" t="str">
        <f t="shared" si="31"/>
        <v/>
      </c>
      <c r="AW88" s="6">
        <f t="shared" si="32"/>
        <v>418.80116324110452</v>
      </c>
      <c r="AX88" s="12" t="str">
        <f t="shared" si="33"/>
        <v/>
      </c>
      <c r="AY88" s="6" t="str">
        <f t="shared" si="34"/>
        <v/>
      </c>
      <c r="AZ88" s="6" t="str">
        <f t="shared" si="35"/>
        <v/>
      </c>
      <c r="BA88" s="6">
        <f t="shared" si="45"/>
        <v>6.2315664930466375E-5</v>
      </c>
      <c r="BB88" s="12" t="str">
        <f t="shared" si="37"/>
        <v/>
      </c>
      <c r="BC88" s="6" t="str">
        <f t="shared" si="38"/>
        <v/>
      </c>
      <c r="BD88" s="6" t="str">
        <f t="shared" si="39"/>
        <v/>
      </c>
      <c r="BE88" s="6">
        <f t="shared" si="40"/>
        <v>0.10282084713526952</v>
      </c>
      <c r="BF88" s="12" t="str">
        <f t="shared" si="41"/>
        <v/>
      </c>
      <c r="BG88" s="12">
        <f t="shared" si="42"/>
        <v>0.10282084713526952</v>
      </c>
      <c r="BH88" s="23"/>
      <c r="BI88" s="23"/>
      <c r="BJ88" s="23"/>
    </row>
    <row r="89" spans="1:62">
      <c r="A89" s="22"/>
      <c r="B89" s="6"/>
      <c r="C89" s="158">
        <f>'主翼(型紙出力)'!B95</f>
        <v>44</v>
      </c>
      <c r="D89" s="227" t="str">
        <f t="shared" si="5"/>
        <v>2</v>
      </c>
      <c r="E89" s="12">
        <f>'主翼(型紙出力)'!C95</f>
        <v>6.7000000000000037</v>
      </c>
      <c r="F89" s="6">
        <f t="shared" si="6"/>
        <v>42.74649999999999</v>
      </c>
      <c r="G89" s="6">
        <f t="shared" si="6"/>
        <v>40.205822306238169</v>
      </c>
      <c r="H89" s="6">
        <f t="shared" si="7"/>
        <v>40.982499999999987</v>
      </c>
      <c r="I89" s="6">
        <f t="shared" si="7"/>
        <v>38.73582230623817</v>
      </c>
      <c r="J89" s="203">
        <v>394199.46522064134</v>
      </c>
      <c r="K89" s="203">
        <v>409732.62614627922</v>
      </c>
      <c r="L89" s="203">
        <v>799806.48962635652</v>
      </c>
      <c r="M89" s="204">
        <v>435.65073243580429</v>
      </c>
      <c r="N89" s="204">
        <v>5799.3598295487154</v>
      </c>
      <c r="O89" s="196">
        <v>270.14727588874104</v>
      </c>
      <c r="P89" s="6">
        <f t="shared" si="1"/>
        <v>85.918359090644557</v>
      </c>
      <c r="Q89" s="12">
        <f t="shared" si="2"/>
        <v>15.282867242546336</v>
      </c>
      <c r="R89" s="96">
        <f t="shared" si="8"/>
        <v>33868.971206167116</v>
      </c>
      <c r="S89" s="202">
        <f t="shared" si="9"/>
        <v>12223.33640068662</v>
      </c>
      <c r="T89" s="12" t="str">
        <f t="shared" si="3"/>
        <v/>
      </c>
      <c r="U89" s="12" t="str">
        <f t="shared" si="4"/>
        <v/>
      </c>
      <c r="V89" s="6" t="str">
        <f t="shared" si="10"/>
        <v/>
      </c>
      <c r="W89" s="6" t="str">
        <f t="shared" si="11"/>
        <v/>
      </c>
      <c r="X89" s="6" t="str">
        <f t="shared" si="12"/>
        <v/>
      </c>
      <c r="Y89" s="6" t="str">
        <f t="shared" si="13"/>
        <v/>
      </c>
      <c r="Z89" s="6" t="str">
        <f t="shared" si="14"/>
        <v/>
      </c>
      <c r="AA89" s="6" t="str">
        <f t="shared" si="43"/>
        <v/>
      </c>
      <c r="AB89" s="6">
        <f t="shared" si="16"/>
        <v>85.492999999999981</v>
      </c>
      <c r="AC89" s="6">
        <f t="shared" si="17"/>
        <v>80.411644612476337</v>
      </c>
      <c r="AD89" s="6">
        <f t="shared" si="18"/>
        <v>81.964999999999975</v>
      </c>
      <c r="AE89" s="12">
        <f t="shared" si="44"/>
        <v>77.471644612476339</v>
      </c>
      <c r="AF89" s="6" t="str">
        <f t="shared" si="20"/>
        <v/>
      </c>
      <c r="AG89" s="6" t="str">
        <f t="shared" si="21"/>
        <v/>
      </c>
      <c r="AH89" s="12" t="str">
        <f t="shared" si="0"/>
        <v/>
      </c>
      <c r="AI89" s="6" t="str">
        <f t="shared" si="22"/>
        <v/>
      </c>
      <c r="AJ89" s="12">
        <f>'主翼(型紙出力)'!AE95/100</f>
        <v>1</v>
      </c>
      <c r="AK89" s="12">
        <f>'主翼(型紙出力)'!AG95/100</f>
        <v>0</v>
      </c>
      <c r="AL89" s="12">
        <f>'主翼(型紙出力)'!D95/1000</f>
        <v>0.79305454545454512</v>
      </c>
      <c r="AM89" s="12">
        <f t="shared" si="23"/>
        <v>14.593327618117016</v>
      </c>
      <c r="AN89" s="6">
        <f t="shared" si="24"/>
        <v>115.7330480085505</v>
      </c>
      <c r="AO89" s="6">
        <f t="shared" si="25"/>
        <v>30.240048008550517</v>
      </c>
      <c r="AP89" s="100">
        <f t="shared" si="26"/>
        <v>-1513.25</v>
      </c>
      <c r="AQ89" s="218">
        <v>375862.6854244282</v>
      </c>
      <c r="AR89" s="100">
        <f t="shared" si="27"/>
        <v>-39.917109946213664</v>
      </c>
      <c r="AS89" s="100">
        <f t="shared" si="28"/>
        <v>-70.413781945121016</v>
      </c>
      <c r="AT89" s="6">
        <f t="shared" si="29"/>
        <v>21.490821231266835</v>
      </c>
      <c r="AU89" s="6" t="str">
        <f t="shared" si="30"/>
        <v/>
      </c>
      <c r="AV89" s="6" t="str">
        <f t="shared" si="31"/>
        <v/>
      </c>
      <c r="AW89" s="6">
        <f t="shared" si="32"/>
        <v>412.07436916511199</v>
      </c>
      <c r="AX89" s="12" t="str">
        <f t="shared" si="33"/>
        <v/>
      </c>
      <c r="AY89" s="6" t="str">
        <f t="shared" si="34"/>
        <v/>
      </c>
      <c r="AZ89" s="6" t="str">
        <f t="shared" si="35"/>
        <v/>
      </c>
      <c r="BA89" s="6">
        <f t="shared" si="45"/>
        <v>6.1306645819067561E-5</v>
      </c>
      <c r="BB89" s="12" t="str">
        <f t="shared" si="37"/>
        <v/>
      </c>
      <c r="BC89" s="6" t="str">
        <f t="shared" si="38"/>
        <v/>
      </c>
      <c r="BD89" s="6" t="str">
        <f t="shared" si="39"/>
        <v/>
      </c>
      <c r="BE89" s="6">
        <f t="shared" si="40"/>
        <v>0.10115596560146149</v>
      </c>
      <c r="BF89" s="12" t="str">
        <f t="shared" si="41"/>
        <v/>
      </c>
      <c r="BG89" s="12">
        <f t="shared" si="42"/>
        <v>0.10115596560146149</v>
      </c>
      <c r="BH89" s="23"/>
      <c r="BI89" s="23"/>
      <c r="BJ89" s="23"/>
    </row>
    <row r="90" spans="1:62">
      <c r="A90" s="22"/>
      <c r="B90" s="6"/>
      <c r="C90" s="100">
        <f>'主翼(型紙出力)'!B96</f>
        <v>45</v>
      </c>
      <c r="D90" s="227" t="str">
        <f t="shared" si="5"/>
        <v>2</v>
      </c>
      <c r="E90" s="12">
        <f>'主翼(型紙出力)'!C96</f>
        <v>6.8500000000000041</v>
      </c>
      <c r="F90" s="6">
        <f t="shared" si="6"/>
        <v>42.063999999999986</v>
      </c>
      <c r="G90" s="6">
        <f t="shared" si="6"/>
        <v>39.560737240075596</v>
      </c>
      <c r="H90" s="6">
        <f t="shared" si="7"/>
        <v>40.299999999999983</v>
      </c>
      <c r="I90" s="6">
        <f t="shared" si="7"/>
        <v>38.090737240075597</v>
      </c>
      <c r="J90" s="203">
        <v>375226.29842526605</v>
      </c>
      <c r="K90" s="203">
        <v>389939.26817902637</v>
      </c>
      <c r="L90" s="203">
        <v>761243.66451302799</v>
      </c>
      <c r="M90" s="204">
        <v>428.53355866814667</v>
      </c>
      <c r="N90" s="204">
        <v>5611.3939727548295</v>
      </c>
      <c r="O90" s="196">
        <v>265.73276514947946</v>
      </c>
      <c r="P90" s="6">
        <f t="shared" si="1"/>
        <v>85.918359090644557</v>
      </c>
      <c r="Q90" s="12">
        <f t="shared" si="2"/>
        <v>15.282867242546336</v>
      </c>
      <c r="R90" s="96">
        <f t="shared" si="8"/>
        <v>32238.827848355366</v>
      </c>
      <c r="S90" s="202">
        <f t="shared" si="9"/>
        <v>11633.98586398209</v>
      </c>
      <c r="T90" s="12" t="str">
        <f t="shared" si="3"/>
        <v/>
      </c>
      <c r="U90" s="12" t="str">
        <f t="shared" si="4"/>
        <v/>
      </c>
      <c r="V90" s="6" t="str">
        <f t="shared" si="10"/>
        <v/>
      </c>
      <c r="W90" s="6" t="str">
        <f t="shared" si="11"/>
        <v/>
      </c>
      <c r="X90" s="6" t="str">
        <f t="shared" si="12"/>
        <v/>
      </c>
      <c r="Y90" s="6" t="str">
        <f t="shared" si="13"/>
        <v/>
      </c>
      <c r="Z90" s="6" t="str">
        <f t="shared" si="14"/>
        <v/>
      </c>
      <c r="AA90" s="6" t="str">
        <f t="shared" si="43"/>
        <v/>
      </c>
      <c r="AB90" s="6">
        <f t="shared" si="16"/>
        <v>84.127999999999972</v>
      </c>
      <c r="AC90" s="6">
        <f t="shared" si="17"/>
        <v>79.121474480151193</v>
      </c>
      <c r="AD90" s="6">
        <f t="shared" si="18"/>
        <v>80.599999999999966</v>
      </c>
      <c r="AE90" s="12">
        <f t="shared" si="44"/>
        <v>76.181474480151195</v>
      </c>
      <c r="AF90" s="6" t="str">
        <f t="shared" si="20"/>
        <v/>
      </c>
      <c r="AG90" s="6" t="str">
        <f t="shared" si="21"/>
        <v/>
      </c>
      <c r="AH90" s="12" t="str">
        <f t="shared" si="0"/>
        <v/>
      </c>
      <c r="AI90" s="6" t="str">
        <f t="shared" si="22"/>
        <v/>
      </c>
      <c r="AJ90" s="12">
        <f>'主翼(型紙出力)'!AE96/100</f>
        <v>1</v>
      </c>
      <c r="AK90" s="12">
        <f>'主翼(型紙出力)'!AG96/100</f>
        <v>0</v>
      </c>
      <c r="AL90" s="12">
        <f>'主翼(型紙出力)'!D96/1000</f>
        <v>0.78454545454545421</v>
      </c>
      <c r="AM90" s="12">
        <f t="shared" si="23"/>
        <v>14.593327618117016</v>
      </c>
      <c r="AN90" s="6">
        <f t="shared" si="24"/>
        <v>114.49128849486345</v>
      </c>
      <c r="AO90" s="6">
        <f t="shared" si="25"/>
        <v>30.363288494863482</v>
      </c>
      <c r="AP90" s="100">
        <f t="shared" si="26"/>
        <v>-1513.25</v>
      </c>
      <c r="AQ90" s="218">
        <v>354495.39175649703</v>
      </c>
      <c r="AR90" s="100">
        <f t="shared" si="27"/>
        <v>-38.9067325093785</v>
      </c>
      <c r="AS90" s="100">
        <f t="shared" si="28"/>
        <v>-68.63147614654379</v>
      </c>
      <c r="AT90" s="6">
        <f t="shared" si="29"/>
        <v>22.048921063112026</v>
      </c>
      <c r="AU90" s="6" t="str">
        <f t="shared" si="30"/>
        <v/>
      </c>
      <c r="AV90" s="6" t="str">
        <f t="shared" si="31"/>
        <v/>
      </c>
      <c r="AW90" s="6">
        <f t="shared" si="32"/>
        <v>405.34757508912014</v>
      </c>
      <c r="AX90" s="12" t="str">
        <f t="shared" si="33"/>
        <v/>
      </c>
      <c r="AY90" s="6" t="str">
        <f t="shared" si="34"/>
        <v/>
      </c>
      <c r="AZ90" s="6" t="str">
        <f t="shared" si="35"/>
        <v/>
      </c>
      <c r="BA90" s="6">
        <f t="shared" si="45"/>
        <v>6.0297626707668775E-5</v>
      </c>
      <c r="BB90" s="12" t="str">
        <f t="shared" si="37"/>
        <v/>
      </c>
      <c r="BC90" s="6" t="str">
        <f t="shared" si="38"/>
        <v/>
      </c>
      <c r="BD90" s="6" t="str">
        <f t="shared" si="39"/>
        <v/>
      </c>
      <c r="BE90" s="6">
        <f t="shared" si="40"/>
        <v>9.9491084067653487E-2</v>
      </c>
      <c r="BF90" s="12" t="str">
        <f t="shared" si="41"/>
        <v/>
      </c>
      <c r="BG90" s="12">
        <f t="shared" si="42"/>
        <v>9.9491084067653487E-2</v>
      </c>
      <c r="BH90" s="23"/>
      <c r="BI90" s="23"/>
      <c r="BJ90" s="23"/>
    </row>
    <row r="91" spans="1:62">
      <c r="A91" s="22"/>
      <c r="B91" s="6"/>
      <c r="C91" s="158">
        <f>'主翼(型紙出力)'!B97</f>
        <v>46</v>
      </c>
      <c r="D91" s="227" t="str">
        <f t="shared" si="5"/>
        <v>2</v>
      </c>
      <c r="E91" s="12">
        <f>'主翼(型紙出力)'!C97</f>
        <v>7.0000000000000044</v>
      </c>
      <c r="F91" s="6">
        <f t="shared" si="6"/>
        <v>41.381499999999981</v>
      </c>
      <c r="G91" s="6">
        <f t="shared" si="6"/>
        <v>38.915652173913017</v>
      </c>
      <c r="H91" s="6">
        <f t="shared" si="7"/>
        <v>39.617499999999978</v>
      </c>
      <c r="I91" s="6">
        <f t="shared" si="7"/>
        <v>37.445652173913018</v>
      </c>
      <c r="J91" s="203">
        <v>356871.90952590556</v>
      </c>
      <c r="K91" s="203">
        <v>370793.85188074806</v>
      </c>
      <c r="L91" s="203">
        <v>723940.73440601351</v>
      </c>
      <c r="M91" s="204">
        <v>421.41638462698114</v>
      </c>
      <c r="N91" s="204">
        <v>5426.5246142721235</v>
      </c>
      <c r="O91" s="196">
        <v>261.31825479168128</v>
      </c>
      <c r="P91" s="6">
        <f t="shared" si="1"/>
        <v>85.918359090644557</v>
      </c>
      <c r="Q91" s="12">
        <f t="shared" si="2"/>
        <v>15.282867242546336</v>
      </c>
      <c r="R91" s="96">
        <f t="shared" si="8"/>
        <v>30661.848872010771</v>
      </c>
      <c r="S91" s="202">
        <f t="shared" si="9"/>
        <v>11063.890135398602</v>
      </c>
      <c r="T91" s="12" t="str">
        <f t="shared" si="3"/>
        <v/>
      </c>
      <c r="U91" s="12" t="str">
        <f t="shared" si="4"/>
        <v/>
      </c>
      <c r="V91" s="6" t="str">
        <f t="shared" si="10"/>
        <v/>
      </c>
      <c r="W91" s="6" t="str">
        <f t="shared" si="11"/>
        <v/>
      </c>
      <c r="X91" s="6" t="str">
        <f t="shared" si="12"/>
        <v/>
      </c>
      <c r="Y91" s="6" t="str">
        <f t="shared" si="13"/>
        <v/>
      </c>
      <c r="Z91" s="6" t="str">
        <f t="shared" si="14"/>
        <v/>
      </c>
      <c r="AA91" s="6" t="str">
        <f t="shared" si="43"/>
        <v/>
      </c>
      <c r="AB91" s="6">
        <f t="shared" si="16"/>
        <v>82.762999999999963</v>
      </c>
      <c r="AC91" s="6">
        <f t="shared" si="17"/>
        <v>77.831304347826034</v>
      </c>
      <c r="AD91" s="6">
        <f t="shared" si="18"/>
        <v>79.234999999999957</v>
      </c>
      <c r="AE91" s="12">
        <f t="shared" si="44"/>
        <v>74.891304347826036</v>
      </c>
      <c r="AF91" s="6" t="str">
        <f t="shared" si="20"/>
        <v/>
      </c>
      <c r="AG91" s="6" t="str">
        <f t="shared" si="21"/>
        <v/>
      </c>
      <c r="AH91" s="12" t="str">
        <f t="shared" si="0"/>
        <v/>
      </c>
      <c r="AI91" s="6" t="str">
        <f t="shared" si="22"/>
        <v/>
      </c>
      <c r="AJ91" s="12">
        <f>'主翼(型紙出力)'!AE97/100</f>
        <v>1</v>
      </c>
      <c r="AK91" s="12">
        <f>'主翼(型紙出力)'!AG97/100</f>
        <v>0</v>
      </c>
      <c r="AL91" s="12">
        <f>'主翼(型紙出力)'!D97/1000</f>
        <v>0.77603636363636341</v>
      </c>
      <c r="AM91" s="12">
        <f t="shared" si="23"/>
        <v>14.593327618117016</v>
      </c>
      <c r="AN91" s="6">
        <f t="shared" si="24"/>
        <v>113.24952898117643</v>
      </c>
      <c r="AO91" s="6">
        <f t="shared" si="25"/>
        <v>30.486528981176463</v>
      </c>
      <c r="AP91" s="100">
        <f t="shared" si="26"/>
        <v>-1513.25</v>
      </c>
      <c r="AQ91" s="218">
        <v>333955.42337358807</v>
      </c>
      <c r="AR91" s="100">
        <f t="shared" si="27"/>
        <v>-37.898829546114314</v>
      </c>
      <c r="AS91" s="100">
        <f t="shared" si="28"/>
        <v>-66.853535319345752</v>
      </c>
      <c r="AT91" s="6">
        <f t="shared" si="29"/>
        <v>22.635302572579182</v>
      </c>
      <c r="AU91" s="6" t="str">
        <f t="shared" si="30"/>
        <v/>
      </c>
      <c r="AV91" s="6" t="str">
        <f t="shared" si="31"/>
        <v/>
      </c>
      <c r="AW91" s="6">
        <f t="shared" si="32"/>
        <v>398.62078101312829</v>
      </c>
      <c r="AX91" s="12" t="str">
        <f t="shared" si="33"/>
        <v/>
      </c>
      <c r="AY91" s="6" t="str">
        <f t="shared" si="34"/>
        <v/>
      </c>
      <c r="AZ91" s="6" t="str">
        <f t="shared" si="35"/>
        <v/>
      </c>
      <c r="BA91" s="6">
        <f t="shared" si="45"/>
        <v>5.928860759626994E-5</v>
      </c>
      <c r="BB91" s="12" t="str">
        <f t="shared" si="37"/>
        <v/>
      </c>
      <c r="BC91" s="6" t="str">
        <f t="shared" si="38"/>
        <v/>
      </c>
      <c r="BD91" s="6" t="str">
        <f t="shared" si="39"/>
        <v/>
      </c>
      <c r="BE91" s="6">
        <f t="shared" si="40"/>
        <v>9.7826202533845413E-2</v>
      </c>
      <c r="BF91" s="12" t="str">
        <f t="shared" si="41"/>
        <v/>
      </c>
      <c r="BG91" s="12">
        <f t="shared" si="42"/>
        <v>9.7826202533845413E-2</v>
      </c>
      <c r="BH91" s="23"/>
      <c r="BI91" s="23"/>
      <c r="BJ91" s="23"/>
    </row>
    <row r="92" spans="1:62">
      <c r="A92" s="22"/>
      <c r="B92" s="6"/>
      <c r="C92" s="100">
        <f>'主翼(型紙出力)'!B98</f>
        <v>47</v>
      </c>
      <c r="D92" s="227" t="str">
        <f t="shared" si="5"/>
        <v>2</v>
      </c>
      <c r="E92" s="12">
        <f>'主翼(型紙出力)'!C98</f>
        <v>7.1500000000000048</v>
      </c>
      <c r="F92" s="6">
        <f t="shared" si="6"/>
        <v>40.698999999999984</v>
      </c>
      <c r="G92" s="6">
        <f t="shared" si="6"/>
        <v>38.270567107750452</v>
      </c>
      <c r="H92" s="6">
        <f t="shared" si="7"/>
        <v>38.934999999999981</v>
      </c>
      <c r="I92" s="6">
        <f t="shared" si="7"/>
        <v>36.800567107750453</v>
      </c>
      <c r="J92" s="203">
        <v>339126.04012381128</v>
      </c>
      <c r="K92" s="203">
        <v>352285.59450551646</v>
      </c>
      <c r="L92" s="203">
        <v>687876.77454846306</v>
      </c>
      <c r="M92" s="204">
        <v>414.29921029879443</v>
      </c>
      <c r="N92" s="204">
        <v>5244.7517541005991</v>
      </c>
      <c r="O92" s="196">
        <v>256.90374483500329</v>
      </c>
      <c r="P92" s="6">
        <f t="shared" si="1"/>
        <v>85.918359090644557</v>
      </c>
      <c r="Q92" s="12">
        <f t="shared" si="2"/>
        <v>15.282867242546336</v>
      </c>
      <c r="R92" s="96">
        <f t="shared" si="8"/>
        <v>29137.152892345952</v>
      </c>
      <c r="S92" s="202">
        <f t="shared" si="9"/>
        <v>10512.729424655137</v>
      </c>
      <c r="T92" s="12" t="str">
        <f t="shared" si="3"/>
        <v/>
      </c>
      <c r="U92" s="12" t="str">
        <f t="shared" si="4"/>
        <v/>
      </c>
      <c r="V92" s="6" t="str">
        <f t="shared" si="10"/>
        <v/>
      </c>
      <c r="W92" s="6" t="str">
        <f t="shared" si="11"/>
        <v/>
      </c>
      <c r="X92" s="6" t="str">
        <f t="shared" si="12"/>
        <v/>
      </c>
      <c r="Y92" s="6" t="str">
        <f t="shared" si="13"/>
        <v/>
      </c>
      <c r="Z92" s="6" t="str">
        <f t="shared" si="14"/>
        <v/>
      </c>
      <c r="AA92" s="6" t="str">
        <f t="shared" si="43"/>
        <v/>
      </c>
      <c r="AB92" s="6">
        <f t="shared" si="16"/>
        <v>81.397999999999968</v>
      </c>
      <c r="AC92" s="6">
        <f t="shared" si="17"/>
        <v>76.541134215500904</v>
      </c>
      <c r="AD92" s="6">
        <f t="shared" si="18"/>
        <v>77.869999999999962</v>
      </c>
      <c r="AE92" s="12">
        <f t="shared" si="44"/>
        <v>73.601134215500906</v>
      </c>
      <c r="AF92" s="6" t="str">
        <f t="shared" si="20"/>
        <v/>
      </c>
      <c r="AG92" s="6" t="str">
        <f t="shared" si="21"/>
        <v/>
      </c>
      <c r="AH92" s="12" t="str">
        <f t="shared" si="0"/>
        <v/>
      </c>
      <c r="AI92" s="6" t="str">
        <f t="shared" si="22"/>
        <v/>
      </c>
      <c r="AJ92" s="12">
        <f>'主翼(型紙出力)'!AE98/100</f>
        <v>1</v>
      </c>
      <c r="AK92" s="12">
        <f>'主翼(型紙出力)'!AG98/100</f>
        <v>0</v>
      </c>
      <c r="AL92" s="12">
        <f>'主翼(型紙出力)'!D98/1000</f>
        <v>0.76752727272727239</v>
      </c>
      <c r="AM92" s="12">
        <f t="shared" si="23"/>
        <v>14.593327618117016</v>
      </c>
      <c r="AN92" s="6">
        <f t="shared" si="24"/>
        <v>112.00776946748935</v>
      </c>
      <c r="AO92" s="6">
        <f t="shared" si="25"/>
        <v>30.609769467489386</v>
      </c>
      <c r="AP92" s="100">
        <f t="shared" si="26"/>
        <v>-1513.25</v>
      </c>
      <c r="AQ92" s="218">
        <v>314232.6775795673</v>
      </c>
      <c r="AR92" s="100">
        <f t="shared" si="27"/>
        <v>-36.894254769163993</v>
      </c>
      <c r="AS92" s="100">
        <f t="shared" si="28"/>
        <v>-65.081465412805386</v>
      </c>
      <c r="AT92" s="6">
        <f t="shared" si="29"/>
        <v>23.251627639322546</v>
      </c>
      <c r="AU92" s="6" t="str">
        <f t="shared" si="30"/>
        <v/>
      </c>
      <c r="AV92" s="6" t="str">
        <f t="shared" si="31"/>
        <v/>
      </c>
      <c r="AW92" s="6">
        <f t="shared" si="32"/>
        <v>391.89398693713576</v>
      </c>
      <c r="AX92" s="12" t="str">
        <f t="shared" si="33"/>
        <v/>
      </c>
      <c r="AY92" s="6" t="str">
        <f t="shared" si="34"/>
        <v/>
      </c>
      <c r="AZ92" s="6" t="str">
        <f t="shared" si="35"/>
        <v/>
      </c>
      <c r="BA92" s="6">
        <f t="shared" si="45"/>
        <v>5.8279588484871113E-5</v>
      </c>
      <c r="BB92" s="12" t="str">
        <f t="shared" si="37"/>
        <v/>
      </c>
      <c r="BC92" s="6" t="str">
        <f t="shared" si="38"/>
        <v/>
      </c>
      <c r="BD92" s="6" t="str">
        <f t="shared" si="39"/>
        <v/>
      </c>
      <c r="BE92" s="6">
        <f t="shared" si="40"/>
        <v>9.6161321000037339E-2</v>
      </c>
      <c r="BF92" s="12" t="str">
        <f t="shared" si="41"/>
        <v/>
      </c>
      <c r="BG92" s="12">
        <f t="shared" si="42"/>
        <v>9.6161321000037339E-2</v>
      </c>
      <c r="BH92" s="23"/>
      <c r="BI92" s="23"/>
      <c r="BJ92" s="23"/>
    </row>
    <row r="93" spans="1:62">
      <c r="A93" s="22"/>
      <c r="B93" s="6"/>
      <c r="C93" s="158">
        <f>'主翼(型紙出力)'!B99</f>
        <v>48</v>
      </c>
      <c r="D93" s="227" t="str">
        <f t="shared" si="5"/>
        <v>2</v>
      </c>
      <c r="E93" s="12">
        <f>'主翼(型紙出力)'!C99</f>
        <v>7.3000000000000052</v>
      </c>
      <c r="F93" s="6">
        <f t="shared" si="6"/>
        <v>40.016499999999979</v>
      </c>
      <c r="G93" s="6">
        <f t="shared" si="6"/>
        <v>37.62548204158788</v>
      </c>
      <c r="H93" s="6">
        <f t="shared" si="7"/>
        <v>38.252499999999976</v>
      </c>
      <c r="I93" s="6">
        <f t="shared" si="7"/>
        <v>36.155482041587881</v>
      </c>
      <c r="J93" s="203">
        <v>321978.43182022643</v>
      </c>
      <c r="K93" s="203">
        <v>334403.71330740472</v>
      </c>
      <c r="L93" s="203">
        <v>653030.86018348881</v>
      </c>
      <c r="M93" s="204">
        <v>407.18203566916605</v>
      </c>
      <c r="N93" s="204">
        <v>5066.0753922402546</v>
      </c>
      <c r="O93" s="196">
        <v>252.48923530048285</v>
      </c>
      <c r="P93" s="6">
        <f t="shared" si="1"/>
        <v>85.918359090644557</v>
      </c>
      <c r="Q93" s="12">
        <f t="shared" si="2"/>
        <v>15.282867242546336</v>
      </c>
      <c r="R93" s="96">
        <f t="shared" si="8"/>
        <v>27663.858524572832</v>
      </c>
      <c r="S93" s="202">
        <f t="shared" si="9"/>
        <v>9980.1839414700971</v>
      </c>
      <c r="T93" s="12" t="str">
        <f t="shared" si="3"/>
        <v/>
      </c>
      <c r="U93" s="12" t="str">
        <f t="shared" si="4"/>
        <v/>
      </c>
      <c r="V93" s="6" t="str">
        <f t="shared" si="10"/>
        <v/>
      </c>
      <c r="W93" s="6" t="str">
        <f t="shared" si="11"/>
        <v/>
      </c>
      <c r="X93" s="6" t="str">
        <f t="shared" si="12"/>
        <v/>
      </c>
      <c r="Y93" s="6" t="str">
        <f t="shared" si="13"/>
        <v/>
      </c>
      <c r="Z93" s="6" t="str">
        <f t="shared" si="14"/>
        <v/>
      </c>
      <c r="AA93" s="6" t="str">
        <f t="shared" si="43"/>
        <v/>
      </c>
      <c r="AB93" s="6">
        <f t="shared" si="16"/>
        <v>80.032999999999959</v>
      </c>
      <c r="AC93" s="6">
        <f t="shared" si="17"/>
        <v>75.250964083175759</v>
      </c>
      <c r="AD93" s="6">
        <f t="shared" si="18"/>
        <v>76.504999999999953</v>
      </c>
      <c r="AE93" s="12">
        <f t="shared" si="44"/>
        <v>72.310964083175762</v>
      </c>
      <c r="AF93" s="6" t="str">
        <f t="shared" si="20"/>
        <v/>
      </c>
      <c r="AG93" s="6" t="str">
        <f t="shared" si="21"/>
        <v/>
      </c>
      <c r="AH93" s="12" t="str">
        <f t="shared" si="0"/>
        <v/>
      </c>
      <c r="AI93" s="6" t="str">
        <f t="shared" si="22"/>
        <v/>
      </c>
      <c r="AJ93" s="12">
        <f>'主翼(型紙出力)'!AE99/100</f>
        <v>1</v>
      </c>
      <c r="AK93" s="12">
        <f>'主翼(型紙出力)'!AG99/100</f>
        <v>0</v>
      </c>
      <c r="AL93" s="12">
        <f>'主翼(型紙出力)'!D99/1000</f>
        <v>0.75901818181818148</v>
      </c>
      <c r="AM93" s="12">
        <f t="shared" si="23"/>
        <v>14.593327618117016</v>
      </c>
      <c r="AN93" s="6">
        <f t="shared" si="24"/>
        <v>110.76600995380231</v>
      </c>
      <c r="AO93" s="6">
        <f t="shared" si="25"/>
        <v>30.733009953802352</v>
      </c>
      <c r="AP93" s="100">
        <f t="shared" si="26"/>
        <v>-1513.25</v>
      </c>
      <c r="AQ93" s="218">
        <v>295316.6972008124</v>
      </c>
      <c r="AR93" s="100">
        <f t="shared" si="27"/>
        <v>-35.89392997931602</v>
      </c>
      <c r="AS93" s="100">
        <f t="shared" si="28"/>
        <v>-63.316892483513563</v>
      </c>
      <c r="AT93" s="6">
        <f t="shared" si="29"/>
        <v>23.899625212876952</v>
      </c>
      <c r="AU93" s="6" t="str">
        <f t="shared" si="30"/>
        <v/>
      </c>
      <c r="AV93" s="6" t="str">
        <f t="shared" si="31"/>
        <v/>
      </c>
      <c r="AW93" s="6">
        <f t="shared" si="32"/>
        <v>385.16719286114392</v>
      </c>
      <c r="AX93" s="12" t="str">
        <f t="shared" si="33"/>
        <v/>
      </c>
      <c r="AY93" s="6" t="str">
        <f t="shared" si="34"/>
        <v/>
      </c>
      <c r="AZ93" s="6" t="str">
        <f t="shared" si="35"/>
        <v/>
      </c>
      <c r="BA93" s="6">
        <f t="shared" si="45"/>
        <v>5.7270569373472387E-5</v>
      </c>
      <c r="BB93" s="12" t="str">
        <f t="shared" si="37"/>
        <v/>
      </c>
      <c r="BC93" s="6" t="str">
        <f t="shared" si="38"/>
        <v/>
      </c>
      <c r="BD93" s="6" t="str">
        <f t="shared" si="39"/>
        <v/>
      </c>
      <c r="BE93" s="6">
        <f t="shared" si="40"/>
        <v>9.4496439466229445E-2</v>
      </c>
      <c r="BF93" s="12" t="str">
        <f t="shared" si="41"/>
        <v/>
      </c>
      <c r="BG93" s="12">
        <f t="shared" si="42"/>
        <v>9.4496439466229445E-2</v>
      </c>
      <c r="BH93" s="23"/>
      <c r="BI93" s="23"/>
      <c r="BJ93" s="23"/>
    </row>
    <row r="94" spans="1:62">
      <c r="A94" s="22"/>
      <c r="B94" s="6"/>
      <c r="C94" s="100">
        <f>'主翼(型紙出力)'!B100</f>
        <v>49</v>
      </c>
      <c r="D94" s="227" t="str">
        <f t="shared" si="5"/>
        <v>2</v>
      </c>
      <c r="E94" s="12">
        <f>'主翼(型紙出力)'!C100</f>
        <v>7.4500000000000055</v>
      </c>
      <c r="F94" s="6">
        <f t="shared" si="6"/>
        <v>39.333999999999982</v>
      </c>
      <c r="G94" s="6">
        <f t="shared" si="6"/>
        <v>36.980396975425307</v>
      </c>
      <c r="H94" s="6">
        <f t="shared" si="7"/>
        <v>37.569999999999979</v>
      </c>
      <c r="I94" s="6">
        <f t="shared" si="7"/>
        <v>35.510396975425309</v>
      </c>
      <c r="J94" s="203">
        <v>305418.82621639624</v>
      </c>
      <c r="K94" s="203">
        <v>317137.42554048431</v>
      </c>
      <c r="L94" s="203">
        <v>619382.06655422132</v>
      </c>
      <c r="M94" s="204">
        <v>400.064860722687</v>
      </c>
      <c r="N94" s="204">
        <v>4890.4955286910908</v>
      </c>
      <c r="O94" s="196">
        <v>248.07472621064835</v>
      </c>
      <c r="P94" s="6">
        <f t="shared" si="1"/>
        <v>85.918359090644557</v>
      </c>
      <c r="Q94" s="12">
        <f t="shared" si="2"/>
        <v>15.282867242546336</v>
      </c>
      <c r="R94" s="96">
        <f t="shared" si="8"/>
        <v>26241.084383903501</v>
      </c>
      <c r="S94" s="202">
        <f t="shared" si="9"/>
        <v>9465.9338955621643</v>
      </c>
      <c r="T94" s="12" t="str">
        <f t="shared" si="3"/>
        <v/>
      </c>
      <c r="U94" s="12" t="str">
        <f t="shared" si="4"/>
        <v/>
      </c>
      <c r="V94" s="6" t="str">
        <f t="shared" si="10"/>
        <v/>
      </c>
      <c r="W94" s="6" t="str">
        <f t="shared" si="11"/>
        <v/>
      </c>
      <c r="X94" s="6" t="str">
        <f t="shared" si="12"/>
        <v/>
      </c>
      <c r="Y94" s="6" t="str">
        <f t="shared" si="13"/>
        <v/>
      </c>
      <c r="Z94" s="6" t="str">
        <f t="shared" si="14"/>
        <v/>
      </c>
      <c r="AA94" s="6" t="str">
        <f t="shared" si="43"/>
        <v/>
      </c>
      <c r="AB94" s="6">
        <f t="shared" si="16"/>
        <v>78.667999999999964</v>
      </c>
      <c r="AC94" s="6">
        <f t="shared" si="17"/>
        <v>73.960793950850615</v>
      </c>
      <c r="AD94" s="6">
        <f t="shared" si="18"/>
        <v>75.139999999999958</v>
      </c>
      <c r="AE94" s="12">
        <f t="shared" si="44"/>
        <v>71.020793950850617</v>
      </c>
      <c r="AF94" s="6" t="str">
        <f t="shared" si="20"/>
        <v/>
      </c>
      <c r="AG94" s="6" t="str">
        <f t="shared" si="21"/>
        <v/>
      </c>
      <c r="AH94" s="12" t="str">
        <f t="shared" si="0"/>
        <v/>
      </c>
      <c r="AI94" s="6" t="str">
        <f t="shared" si="22"/>
        <v/>
      </c>
      <c r="AJ94" s="12">
        <f>'主翼(型紙出力)'!AE100/100</f>
        <v>1</v>
      </c>
      <c r="AK94" s="12">
        <f>'主翼(型紙出力)'!AG100/100</f>
        <v>0</v>
      </c>
      <c r="AL94" s="12">
        <f>'主翼(型紙出力)'!D100/1000</f>
        <v>0.75050909090909057</v>
      </c>
      <c r="AM94" s="12">
        <f t="shared" si="23"/>
        <v>14.593327618117016</v>
      </c>
      <c r="AN94" s="6">
        <f t="shared" si="24"/>
        <v>109.52425044011525</v>
      </c>
      <c r="AO94" s="6">
        <f t="shared" si="25"/>
        <v>30.856250440115289</v>
      </c>
      <c r="AP94" s="100">
        <f t="shared" si="26"/>
        <v>-1513.25</v>
      </c>
      <c r="AQ94" s="218">
        <v>277196.50172922824</v>
      </c>
      <c r="AR94" s="100">
        <f t="shared" si="27"/>
        <v>-34.898830620677927</v>
      </c>
      <c r="AS94" s="100">
        <f t="shared" si="28"/>
        <v>-61.561537214875962</v>
      </c>
      <c r="AT94" s="6">
        <f t="shared" si="29"/>
        <v>24.581095087312612</v>
      </c>
      <c r="AU94" s="6" t="str">
        <f t="shared" si="30"/>
        <v/>
      </c>
      <c r="AV94" s="6" t="str">
        <f t="shared" si="31"/>
        <v/>
      </c>
      <c r="AW94" s="6">
        <f t="shared" si="32"/>
        <v>378.44039878515275</v>
      </c>
      <c r="AX94" s="12" t="str">
        <f t="shared" si="33"/>
        <v/>
      </c>
      <c r="AY94" s="6" t="str">
        <f t="shared" si="34"/>
        <v/>
      </c>
      <c r="AZ94" s="6" t="str">
        <f t="shared" si="35"/>
        <v/>
      </c>
      <c r="BA94" s="6">
        <f t="shared" si="45"/>
        <v>5.6261550262073607E-5</v>
      </c>
      <c r="BB94" s="12" t="str">
        <f t="shared" si="37"/>
        <v/>
      </c>
      <c r="BC94" s="6" t="str">
        <f t="shared" si="38"/>
        <v/>
      </c>
      <c r="BD94" s="6" t="str">
        <f t="shared" si="39"/>
        <v/>
      </c>
      <c r="BE94" s="6">
        <f t="shared" si="40"/>
        <v>9.2831557932421455E-2</v>
      </c>
      <c r="BF94" s="12" t="str">
        <f t="shared" si="41"/>
        <v/>
      </c>
      <c r="BG94" s="12">
        <f t="shared" si="42"/>
        <v>9.2831557932421455E-2</v>
      </c>
      <c r="BH94" s="23"/>
      <c r="BI94" s="23"/>
      <c r="BJ94" s="23"/>
    </row>
    <row r="95" spans="1:62">
      <c r="A95" s="22"/>
      <c r="B95" s="6"/>
      <c r="C95" s="158">
        <f>'主翼(型紙出力)'!B101</f>
        <v>50</v>
      </c>
      <c r="D95" s="227" t="str">
        <f t="shared" si="5"/>
        <v>2</v>
      </c>
      <c r="E95" s="12">
        <f>'主翼(型紙出力)'!C101</f>
        <v>7.6000000000000059</v>
      </c>
      <c r="F95" s="6">
        <f t="shared" si="6"/>
        <v>38.651499999999977</v>
      </c>
      <c r="G95" s="6">
        <f t="shared" si="6"/>
        <v>36.335311909262735</v>
      </c>
      <c r="H95" s="6">
        <f t="shared" si="7"/>
        <v>36.887499999999974</v>
      </c>
      <c r="I95" s="6">
        <f t="shared" si="7"/>
        <v>34.865311909262736</v>
      </c>
      <c r="J95" s="203">
        <v>289436.96491357574</v>
      </c>
      <c r="K95" s="203">
        <v>300475.94845882762</v>
      </c>
      <c r="L95" s="203">
        <v>586909.46890379582</v>
      </c>
      <c r="M95" s="204">
        <v>392.94768544288746</v>
      </c>
      <c r="N95" s="204">
        <v>4718.012163453106</v>
      </c>
      <c r="O95" s="196">
        <v>243.66021758966505</v>
      </c>
      <c r="P95" s="6">
        <f t="shared" si="1"/>
        <v>85.918359090644557</v>
      </c>
      <c r="Q95" s="12">
        <f t="shared" si="2"/>
        <v>15.282867242546336</v>
      </c>
      <c r="R95" s="96">
        <f t="shared" si="8"/>
        <v>24867.949085550892</v>
      </c>
      <c r="S95" s="202">
        <f t="shared" si="9"/>
        <v>8969.6594966500888</v>
      </c>
      <c r="T95" s="12" t="str">
        <f t="shared" si="3"/>
        <v/>
      </c>
      <c r="U95" s="12" t="str">
        <f t="shared" si="4"/>
        <v/>
      </c>
      <c r="V95" s="6" t="str">
        <f t="shared" si="10"/>
        <v/>
      </c>
      <c r="W95" s="6" t="str">
        <f t="shared" si="11"/>
        <v/>
      </c>
      <c r="X95" s="6" t="str">
        <f t="shared" si="12"/>
        <v/>
      </c>
      <c r="Y95" s="6" t="str">
        <f t="shared" si="13"/>
        <v/>
      </c>
      <c r="Z95" s="6" t="str">
        <f t="shared" si="14"/>
        <v/>
      </c>
      <c r="AA95" s="6" t="str">
        <f t="shared" si="43"/>
        <v/>
      </c>
      <c r="AB95" s="6">
        <f t="shared" si="16"/>
        <v>77.302999999999955</v>
      </c>
      <c r="AC95" s="6">
        <f t="shared" si="17"/>
        <v>72.67062381852547</v>
      </c>
      <c r="AD95" s="6">
        <f t="shared" si="18"/>
        <v>73.774999999999949</v>
      </c>
      <c r="AE95" s="12">
        <f t="shared" si="44"/>
        <v>69.730623818525473</v>
      </c>
      <c r="AF95" s="6" t="str">
        <f t="shared" si="20"/>
        <v/>
      </c>
      <c r="AG95" s="6" t="str">
        <f t="shared" si="21"/>
        <v/>
      </c>
      <c r="AH95" s="12" t="str">
        <f t="shared" si="0"/>
        <v/>
      </c>
      <c r="AI95" s="6" t="str">
        <f t="shared" si="22"/>
        <v/>
      </c>
      <c r="AJ95" s="12">
        <f>'主翼(型紙出力)'!AE101/100</f>
        <v>1</v>
      </c>
      <c r="AK95" s="12">
        <f>'主翼(型紙出力)'!AG101/100</f>
        <v>0</v>
      </c>
      <c r="AL95" s="12">
        <f>'主翼(型紙出力)'!D101/1000</f>
        <v>0.74199999999999899</v>
      </c>
      <c r="AM95" s="12">
        <f t="shared" si="23"/>
        <v>14.593327618117016</v>
      </c>
      <c r="AN95" s="6">
        <f t="shared" si="24"/>
        <v>108.28249092642811</v>
      </c>
      <c r="AO95" s="6">
        <f t="shared" si="25"/>
        <v>30.979490926428156</v>
      </c>
      <c r="AP95" s="100">
        <f t="shared" si="26"/>
        <v>-1513.25</v>
      </c>
      <c r="AQ95" s="218">
        <v>259706.26119304931</v>
      </c>
      <c r="AR95" s="100">
        <f t="shared" si="27"/>
        <v>-33.889851059831891</v>
      </c>
      <c r="AS95" s="100">
        <f t="shared" si="28"/>
        <v>-59.781697269543557</v>
      </c>
      <c r="AT95" s="6">
        <f t="shared" si="29"/>
        <v>25.312931367222017</v>
      </c>
      <c r="AU95" s="6" t="str">
        <f t="shared" si="30"/>
        <v/>
      </c>
      <c r="AV95" s="6" t="str">
        <f t="shared" si="31"/>
        <v/>
      </c>
      <c r="AW95" s="6">
        <f t="shared" si="32"/>
        <v>371.71360470916022</v>
      </c>
      <c r="AX95" s="12" t="str">
        <f t="shared" si="33"/>
        <v/>
      </c>
      <c r="AY95" s="6" t="str">
        <f t="shared" si="34"/>
        <v/>
      </c>
      <c r="AZ95" s="6" t="str">
        <f t="shared" si="35"/>
        <v/>
      </c>
      <c r="BA95" s="6">
        <f t="shared" si="45"/>
        <v>5.5252531150674827E-5</v>
      </c>
      <c r="BB95" s="12" t="str">
        <f t="shared" si="37"/>
        <v/>
      </c>
      <c r="BC95" s="6" t="str">
        <f t="shared" si="38"/>
        <v/>
      </c>
      <c r="BD95" s="6" t="str">
        <f t="shared" si="39"/>
        <v/>
      </c>
      <c r="BE95" s="6">
        <f t="shared" si="40"/>
        <v>9.1166676398613478E-2</v>
      </c>
      <c r="BF95" s="12" t="str">
        <f t="shared" si="41"/>
        <v/>
      </c>
      <c r="BG95" s="12">
        <f t="shared" si="42"/>
        <v>9.1166676398613478E-2</v>
      </c>
      <c r="BH95" s="23"/>
      <c r="BI95" s="23"/>
      <c r="BJ95" s="23"/>
    </row>
    <row r="96" spans="1:62">
      <c r="A96" s="22"/>
      <c r="B96" s="6"/>
      <c r="C96" s="100">
        <f>'主翼(型紙出力)'!B102</f>
        <v>51</v>
      </c>
      <c r="D96" s="227" t="str">
        <f t="shared" si="5"/>
        <v>2</v>
      </c>
      <c r="E96" s="12">
        <f>'主翼(型紙出力)'!C102</f>
        <v>7.7500000000000062</v>
      </c>
      <c r="F96" s="6">
        <f t="shared" si="6"/>
        <v>37.96899999999998</v>
      </c>
      <c r="G96" s="6">
        <f t="shared" si="6"/>
        <v>35.690226843100163</v>
      </c>
      <c r="H96" s="6">
        <f t="shared" si="7"/>
        <v>36.204999999999977</v>
      </c>
      <c r="I96" s="6">
        <f t="shared" si="7"/>
        <v>34.220226843100164</v>
      </c>
      <c r="J96" s="203">
        <v>274022.58951299905</v>
      </c>
      <c r="K96" s="203">
        <v>284408.49931650434</v>
      </c>
      <c r="L96" s="203">
        <v>555592.14247532852</v>
      </c>
      <c r="M96" s="204">
        <v>385.83050981213563</v>
      </c>
      <c r="N96" s="204">
        <v>4548.625296526302</v>
      </c>
      <c r="O96" s="196">
        <v>239.24570946348112</v>
      </c>
      <c r="P96" s="6">
        <f t="shared" si="1"/>
        <v>85.918359090644557</v>
      </c>
      <c r="Q96" s="12">
        <f t="shared" si="2"/>
        <v>15.282867242546336</v>
      </c>
      <c r="R96" s="96">
        <f t="shared" si="8"/>
        <v>23543.571244726143</v>
      </c>
      <c r="S96" s="202">
        <f t="shared" si="9"/>
        <v>8491.0409544523354</v>
      </c>
      <c r="T96" s="12" t="str">
        <f t="shared" si="3"/>
        <v/>
      </c>
      <c r="U96" s="12" t="str">
        <f t="shared" si="4"/>
        <v/>
      </c>
      <c r="V96" s="6" t="str">
        <f t="shared" si="10"/>
        <v/>
      </c>
      <c r="W96" s="6" t="str">
        <f t="shared" si="11"/>
        <v/>
      </c>
      <c r="X96" s="6" t="str">
        <f t="shared" si="12"/>
        <v/>
      </c>
      <c r="Y96" s="6" t="str">
        <f t="shared" si="13"/>
        <v/>
      </c>
      <c r="Z96" s="6" t="str">
        <f t="shared" si="14"/>
        <v/>
      </c>
      <c r="AA96" s="6" t="str">
        <f t="shared" si="43"/>
        <v/>
      </c>
      <c r="AB96" s="6">
        <f t="shared" si="16"/>
        <v>75.93799999999996</v>
      </c>
      <c r="AC96" s="6">
        <f t="shared" si="17"/>
        <v>71.380453686200326</v>
      </c>
      <c r="AD96" s="6">
        <f t="shared" si="18"/>
        <v>72.409999999999954</v>
      </c>
      <c r="AE96" s="12">
        <f t="shared" si="44"/>
        <v>68.440453686200328</v>
      </c>
      <c r="AF96" s="6" t="str">
        <f t="shared" si="20"/>
        <v/>
      </c>
      <c r="AG96" s="6" t="str">
        <f t="shared" si="21"/>
        <v/>
      </c>
      <c r="AH96" s="12" t="str">
        <f t="shared" si="0"/>
        <v/>
      </c>
      <c r="AI96" s="6" t="str">
        <f t="shared" si="22"/>
        <v/>
      </c>
      <c r="AJ96" s="12">
        <f>'主翼(型紙出力)'!AE102/100</f>
        <v>1</v>
      </c>
      <c r="AK96" s="12">
        <f>'主翼(型紙出力)'!AG102/100</f>
        <v>0</v>
      </c>
      <c r="AL96" s="12">
        <f>'主翼(型紙出力)'!D102/1000</f>
        <v>0.72352631578947268</v>
      </c>
      <c r="AM96" s="12">
        <f t="shared" si="23"/>
        <v>14.593327618117016</v>
      </c>
      <c r="AN96" s="6">
        <f t="shared" si="24"/>
        <v>105.58656566644966</v>
      </c>
      <c r="AO96" s="6">
        <f t="shared" si="25"/>
        <v>29.648565666449699</v>
      </c>
      <c r="AP96" s="100">
        <f t="shared" si="26"/>
        <v>-1513.25</v>
      </c>
      <c r="AQ96" s="218">
        <v>242878.28830321066</v>
      </c>
      <c r="AR96" s="100">
        <f t="shared" si="27"/>
        <v>-32.871841311731949</v>
      </c>
      <c r="AS96" s="100">
        <f t="shared" si="28"/>
        <v>-57.985928073895252</v>
      </c>
      <c r="AT96" s="6">
        <f t="shared" si="29"/>
        <v>26.096848843594721</v>
      </c>
      <c r="AU96" s="6" t="str">
        <f t="shared" si="30"/>
        <v/>
      </c>
      <c r="AV96" s="6" t="str">
        <f t="shared" si="31"/>
        <v/>
      </c>
      <c r="AW96" s="6">
        <f t="shared" si="32"/>
        <v>364.98681063316911</v>
      </c>
      <c r="AX96" s="12" t="str">
        <f t="shared" si="33"/>
        <v/>
      </c>
      <c r="AY96" s="6" t="str">
        <f t="shared" si="34"/>
        <v/>
      </c>
      <c r="AZ96" s="6" t="str">
        <f t="shared" si="35"/>
        <v/>
      </c>
      <c r="BA96" s="6">
        <f t="shared" si="45"/>
        <v>5.4243512039276107E-5</v>
      </c>
      <c r="BB96" s="12" t="str">
        <f t="shared" si="37"/>
        <v/>
      </c>
      <c r="BC96" s="6" t="str">
        <f t="shared" si="38"/>
        <v/>
      </c>
      <c r="BD96" s="6" t="str">
        <f t="shared" si="39"/>
        <v/>
      </c>
      <c r="BE96" s="6">
        <f t="shared" si="40"/>
        <v>8.9501794864805584E-2</v>
      </c>
      <c r="BF96" s="12" t="str">
        <f t="shared" si="41"/>
        <v/>
      </c>
      <c r="BG96" s="12">
        <f t="shared" si="42"/>
        <v>8.9501794864805584E-2</v>
      </c>
      <c r="BH96" s="23"/>
      <c r="BI96" s="23"/>
      <c r="BJ96" s="23"/>
    </row>
    <row r="97" spans="1:62">
      <c r="A97" s="22"/>
      <c r="B97" s="6"/>
      <c r="C97" s="158">
        <f>'主翼(型紙出力)'!B103</f>
        <v>52</v>
      </c>
      <c r="D97" s="227" t="str">
        <f t="shared" si="5"/>
        <v>2</v>
      </c>
      <c r="E97" s="12">
        <f>'主翼(型紙出力)'!C103</f>
        <v>7.9000000000000066</v>
      </c>
      <c r="F97" s="6">
        <f t="shared" si="6"/>
        <v>37.286499999999975</v>
      </c>
      <c r="G97" s="6">
        <f t="shared" si="6"/>
        <v>35.045141776937591</v>
      </c>
      <c r="H97" s="6">
        <f t="shared" si="7"/>
        <v>35.522499999999972</v>
      </c>
      <c r="I97" s="6">
        <f t="shared" si="7"/>
        <v>33.575141776937592</v>
      </c>
      <c r="J97" s="203">
        <v>259165.44161591472</v>
      </c>
      <c r="K97" s="203">
        <v>268924.29536757118</v>
      </c>
      <c r="L97" s="203">
        <v>525409.16251193942</v>
      </c>
      <c r="M97" s="204">
        <v>378.71333381154017</v>
      </c>
      <c r="N97" s="204">
        <v>4382.334927910676</v>
      </c>
      <c r="O97" s="196">
        <v>234.83120185999391</v>
      </c>
      <c r="P97" s="6">
        <f t="shared" si="1"/>
        <v>85.918359090644557</v>
      </c>
      <c r="Q97" s="12">
        <f t="shared" si="2"/>
        <v>15.282867242546336</v>
      </c>
      <c r="R97" s="96">
        <f t="shared" si="8"/>
        <v>22267.069476641638</v>
      </c>
      <c r="S97" s="202">
        <f t="shared" si="9"/>
        <v>8029.758478687424</v>
      </c>
      <c r="T97" s="12" t="str">
        <f t="shared" si="3"/>
        <v/>
      </c>
      <c r="U97" s="12" t="str">
        <f t="shared" si="4"/>
        <v/>
      </c>
      <c r="V97" s="6" t="str">
        <f t="shared" si="10"/>
        <v/>
      </c>
      <c r="W97" s="6" t="str">
        <f t="shared" si="11"/>
        <v/>
      </c>
      <c r="X97" s="6" t="str">
        <f t="shared" si="12"/>
        <v/>
      </c>
      <c r="Y97" s="6" t="str">
        <f t="shared" si="13"/>
        <v/>
      </c>
      <c r="Z97" s="6" t="str">
        <f t="shared" si="14"/>
        <v/>
      </c>
      <c r="AA97" s="6" t="str">
        <f t="shared" si="43"/>
        <v/>
      </c>
      <c r="AB97" s="6">
        <f t="shared" si="16"/>
        <v>74.572999999999951</v>
      </c>
      <c r="AC97" s="6">
        <f t="shared" si="17"/>
        <v>70.090283553875182</v>
      </c>
      <c r="AD97" s="6">
        <f t="shared" si="18"/>
        <v>71.044999999999945</v>
      </c>
      <c r="AE97" s="12">
        <f t="shared" si="44"/>
        <v>67.150283553875184</v>
      </c>
      <c r="AF97" s="6" t="str">
        <f t="shared" si="20"/>
        <v/>
      </c>
      <c r="AG97" s="6" t="str">
        <f t="shared" si="21"/>
        <v/>
      </c>
      <c r="AH97" s="12" t="str">
        <f t="shared" si="0"/>
        <v/>
      </c>
      <c r="AI97" s="6" t="str">
        <f t="shared" si="22"/>
        <v/>
      </c>
      <c r="AJ97" s="12">
        <f>'主翼(型紙出力)'!AE103/100</f>
        <v>1</v>
      </c>
      <c r="AK97" s="12">
        <f>'主翼(型紙出力)'!AG103/100</f>
        <v>0</v>
      </c>
      <c r="AL97" s="12">
        <f>'主翼(型紙出力)'!D103/1000</f>
        <v>0.70505263157894638</v>
      </c>
      <c r="AM97" s="12">
        <f t="shared" si="23"/>
        <v>14.593327618117016</v>
      </c>
      <c r="AN97" s="6">
        <f t="shared" si="24"/>
        <v>102.89064040647119</v>
      </c>
      <c r="AO97" s="6">
        <f t="shared" si="25"/>
        <v>28.317640406471241</v>
      </c>
      <c r="AP97" s="100">
        <f t="shared" si="26"/>
        <v>-1513.25</v>
      </c>
      <c r="AQ97" s="218">
        <v>226796.87360822846</v>
      </c>
      <c r="AR97" s="100">
        <f t="shared" si="27"/>
        <v>-31.85774590080894</v>
      </c>
      <c r="AS97" s="100">
        <f t="shared" si="28"/>
        <v>-56.197063769027061</v>
      </c>
      <c r="AT97" s="6">
        <f t="shared" si="29"/>
        <v>26.927563443875616</v>
      </c>
      <c r="AU97" s="6" t="str">
        <f t="shared" si="30"/>
        <v/>
      </c>
      <c r="AV97" s="6" t="str">
        <f t="shared" si="31"/>
        <v/>
      </c>
      <c r="AW97" s="6">
        <f t="shared" si="32"/>
        <v>358.26001655717727</v>
      </c>
      <c r="AX97" s="12" t="str">
        <f t="shared" si="33"/>
        <v/>
      </c>
      <c r="AY97" s="6" t="str">
        <f t="shared" si="34"/>
        <v/>
      </c>
      <c r="AZ97" s="6" t="str">
        <f t="shared" si="35"/>
        <v/>
      </c>
      <c r="BA97" s="6">
        <f t="shared" si="45"/>
        <v>5.3234492927877009E-5</v>
      </c>
      <c r="BB97" s="12" t="str">
        <f t="shared" si="37"/>
        <v/>
      </c>
      <c r="BC97" s="6" t="str">
        <f t="shared" si="38"/>
        <v/>
      </c>
      <c r="BD97" s="6" t="str">
        <f t="shared" si="39"/>
        <v/>
      </c>
      <c r="BE97" s="6">
        <f t="shared" si="40"/>
        <v>8.783691333099708E-2</v>
      </c>
      <c r="BF97" s="12" t="str">
        <f t="shared" si="41"/>
        <v/>
      </c>
      <c r="BG97" s="12">
        <f t="shared" si="42"/>
        <v>8.783691333099708E-2</v>
      </c>
      <c r="BH97" s="23"/>
      <c r="BI97" s="23"/>
      <c r="BJ97" s="23"/>
    </row>
    <row r="98" spans="1:62">
      <c r="A98" s="22"/>
      <c r="B98" s="6"/>
      <c r="C98" s="100">
        <f>'主翼(型紙出力)'!B104</f>
        <v>53</v>
      </c>
      <c r="D98" s="227" t="str">
        <f t="shared" si="5"/>
        <v>2</v>
      </c>
      <c r="E98" s="12">
        <f>'主翼(型紙出力)'!C104</f>
        <v>8.050000000000006</v>
      </c>
      <c r="F98" s="6">
        <f t="shared" si="6"/>
        <v>36.603999999999978</v>
      </c>
      <c r="G98" s="6">
        <f t="shared" si="6"/>
        <v>34.400056710775019</v>
      </c>
      <c r="H98" s="6">
        <f t="shared" si="7"/>
        <v>34.839999999999975</v>
      </c>
      <c r="I98" s="6">
        <f t="shared" si="7"/>
        <v>32.93005671077502</v>
      </c>
      <c r="J98" s="203">
        <v>244855.26282356741</v>
      </c>
      <c r="K98" s="203">
        <v>254012.55386611202</v>
      </c>
      <c r="L98" s="203">
        <v>496339.60425675142</v>
      </c>
      <c r="M98" s="204">
        <v>371.59615742082735</v>
      </c>
      <c r="N98" s="204">
        <v>4219.1410576062326</v>
      </c>
      <c r="O98" s="196">
        <v>230.41669480923167</v>
      </c>
      <c r="P98" s="6">
        <f t="shared" si="1"/>
        <v>85.918359090644557</v>
      </c>
      <c r="Q98" s="12">
        <f t="shared" si="2"/>
        <v>15.282867242546336</v>
      </c>
      <c r="R98" s="96">
        <f t="shared" si="8"/>
        <v>21037.562396509416</v>
      </c>
      <c r="S98" s="202">
        <f t="shared" si="9"/>
        <v>7585.4922790739192</v>
      </c>
      <c r="T98" s="12" t="str">
        <f t="shared" si="3"/>
        <v/>
      </c>
      <c r="U98" s="12" t="str">
        <f t="shared" si="4"/>
        <v/>
      </c>
      <c r="V98" s="6" t="str">
        <f t="shared" si="10"/>
        <v/>
      </c>
      <c r="W98" s="6" t="str">
        <f t="shared" si="11"/>
        <v/>
      </c>
      <c r="X98" s="6" t="str">
        <f t="shared" si="12"/>
        <v/>
      </c>
      <c r="Y98" s="6" t="str">
        <f t="shared" si="13"/>
        <v/>
      </c>
      <c r="Z98" s="6" t="str">
        <f t="shared" si="14"/>
        <v/>
      </c>
      <c r="AA98" s="6" t="str">
        <f t="shared" si="43"/>
        <v/>
      </c>
      <c r="AB98" s="6">
        <f t="shared" si="16"/>
        <v>73.207999999999956</v>
      </c>
      <c r="AC98" s="6">
        <f t="shared" si="17"/>
        <v>68.800113421550037</v>
      </c>
      <c r="AD98" s="6">
        <f t="shared" si="18"/>
        <v>69.67999999999995</v>
      </c>
      <c r="AE98" s="12">
        <f t="shared" si="44"/>
        <v>65.860113421550039</v>
      </c>
      <c r="AF98" s="6" t="str">
        <f t="shared" si="20"/>
        <v/>
      </c>
      <c r="AG98" s="6" t="str">
        <f t="shared" si="21"/>
        <v/>
      </c>
      <c r="AH98" s="12" t="str">
        <f t="shared" si="0"/>
        <v/>
      </c>
      <c r="AI98" s="6" t="str">
        <f t="shared" si="22"/>
        <v/>
      </c>
      <c r="AJ98" s="12">
        <f>'主翼(型紙出力)'!AE104/100</f>
        <v>1</v>
      </c>
      <c r="AK98" s="12">
        <f>'主翼(型紙出力)'!AG104/100</f>
        <v>0</v>
      </c>
      <c r="AL98" s="12">
        <f>'主翼(型紙出力)'!D104/1000</f>
        <v>0.68657894736842018</v>
      </c>
      <c r="AM98" s="12">
        <f t="shared" si="23"/>
        <v>14.593327618117016</v>
      </c>
      <c r="AN98" s="6">
        <f t="shared" si="24"/>
        <v>100.19471514649275</v>
      </c>
      <c r="AO98" s="6">
        <f t="shared" si="25"/>
        <v>26.986715146492799</v>
      </c>
      <c r="AP98" s="100">
        <f t="shared" si="26"/>
        <v>-1513.25</v>
      </c>
      <c r="AQ98" s="218">
        <v>211447.4119097697</v>
      </c>
      <c r="AR98" s="100">
        <f t="shared" si="27"/>
        <v>-30.84811966522199</v>
      </c>
      <c r="AS98" s="100">
        <f t="shared" si="28"/>
        <v>-54.416083089451682</v>
      </c>
      <c r="AT98" s="6">
        <f t="shared" si="29"/>
        <v>27.80887403292974</v>
      </c>
      <c r="AU98" s="6" t="str">
        <f t="shared" si="30"/>
        <v/>
      </c>
      <c r="AV98" s="6" t="str">
        <f t="shared" si="31"/>
        <v/>
      </c>
      <c r="AW98" s="6">
        <f t="shared" si="32"/>
        <v>351.53322248118542</v>
      </c>
      <c r="AX98" s="12" t="str">
        <f t="shared" si="33"/>
        <v/>
      </c>
      <c r="AY98" s="6" t="str">
        <f t="shared" si="34"/>
        <v/>
      </c>
      <c r="AZ98" s="6" t="str">
        <f t="shared" si="35"/>
        <v/>
      </c>
      <c r="BA98" s="6">
        <f t="shared" si="45"/>
        <v>5.2225473816478547E-5</v>
      </c>
      <c r="BB98" s="12" t="str">
        <f t="shared" si="37"/>
        <v/>
      </c>
      <c r="BC98" s="6" t="str">
        <f t="shared" si="38"/>
        <v/>
      </c>
      <c r="BD98" s="6" t="str">
        <f t="shared" si="39"/>
        <v/>
      </c>
      <c r="BE98" s="6">
        <f t="shared" si="40"/>
        <v>8.6172031797189602E-2</v>
      </c>
      <c r="BF98" s="12" t="str">
        <f t="shared" si="41"/>
        <v/>
      </c>
      <c r="BG98" s="12">
        <f t="shared" si="42"/>
        <v>8.6172031797189602E-2</v>
      </c>
      <c r="BH98" s="23"/>
      <c r="BI98" s="23"/>
      <c r="BJ98" s="23"/>
    </row>
    <row r="99" spans="1:62">
      <c r="A99" s="22"/>
      <c r="B99" s="6"/>
      <c r="C99" s="158">
        <f>'主翼(型紙出力)'!B105</f>
        <v>54</v>
      </c>
      <c r="D99" s="227" t="str">
        <f t="shared" si="5"/>
        <v>2</v>
      </c>
      <c r="E99" s="12">
        <f>'主翼(型紙出力)'!C105</f>
        <v>8.2000000000000064</v>
      </c>
      <c r="F99" s="6">
        <f t="shared" si="6"/>
        <v>35.921499999999973</v>
      </c>
      <c r="G99" s="6">
        <f t="shared" si="6"/>
        <v>33.754971644612446</v>
      </c>
      <c r="H99" s="6">
        <f t="shared" si="7"/>
        <v>34.15749999999997</v>
      </c>
      <c r="I99" s="6">
        <f t="shared" si="7"/>
        <v>32.284971644612448</v>
      </c>
      <c r="J99" s="203">
        <v>231081.79473719446</v>
      </c>
      <c r="K99" s="203">
        <v>239662.49206617684</v>
      </c>
      <c r="L99" s="203">
        <v>468362.54295288766</v>
      </c>
      <c r="M99" s="204">
        <v>364.47898061821161</v>
      </c>
      <c r="N99" s="204">
        <v>4059.0436856129681</v>
      </c>
      <c r="O99" s="196">
        <v>226.00218834358299</v>
      </c>
      <c r="P99" s="6">
        <f t="shared" si="1"/>
        <v>85.918359090644557</v>
      </c>
      <c r="Q99" s="12">
        <f t="shared" si="2"/>
        <v>15.282867242546336</v>
      </c>
      <c r="R99" s="96">
        <f t="shared" si="8"/>
        <v>19854.168619540891</v>
      </c>
      <c r="S99" s="202">
        <f t="shared" si="9"/>
        <v>7157.9225653303893</v>
      </c>
      <c r="T99" s="12" t="str">
        <f t="shared" si="3"/>
        <v/>
      </c>
      <c r="U99" s="12" t="str">
        <f t="shared" si="4"/>
        <v/>
      </c>
      <c r="V99" s="6" t="str">
        <f t="shared" si="10"/>
        <v/>
      </c>
      <c r="W99" s="6" t="str">
        <f t="shared" si="11"/>
        <v/>
      </c>
      <c r="X99" s="6" t="str">
        <f t="shared" si="12"/>
        <v/>
      </c>
      <c r="Y99" s="6" t="str">
        <f t="shared" si="13"/>
        <v/>
      </c>
      <c r="Z99" s="6" t="str">
        <f t="shared" si="14"/>
        <v/>
      </c>
      <c r="AA99" s="6" t="str">
        <f t="shared" si="43"/>
        <v/>
      </c>
      <c r="AB99" s="6">
        <f t="shared" si="16"/>
        <v>71.842999999999947</v>
      </c>
      <c r="AC99" s="6">
        <f t="shared" si="17"/>
        <v>67.509943289224893</v>
      </c>
      <c r="AD99" s="6">
        <f t="shared" si="18"/>
        <v>68.314999999999941</v>
      </c>
      <c r="AE99" s="12">
        <f t="shared" si="44"/>
        <v>64.569943289224895</v>
      </c>
      <c r="AF99" s="6" t="str">
        <f t="shared" si="20"/>
        <v/>
      </c>
      <c r="AG99" s="6" t="str">
        <f t="shared" si="21"/>
        <v/>
      </c>
      <c r="AH99" s="12" t="str">
        <f t="shared" si="0"/>
        <v/>
      </c>
      <c r="AI99" s="6" t="str">
        <f t="shared" si="22"/>
        <v/>
      </c>
      <c r="AJ99" s="12">
        <f>'主翼(型紙出力)'!AE105/100</f>
        <v>1</v>
      </c>
      <c r="AK99" s="12">
        <f>'主翼(型紙出力)'!AG105/100</f>
        <v>0</v>
      </c>
      <c r="AL99" s="12">
        <f>'主翼(型紙出力)'!D105/1000</f>
        <v>0.66810526315789387</v>
      </c>
      <c r="AM99" s="12">
        <f t="shared" si="23"/>
        <v>14.593327618117016</v>
      </c>
      <c r="AN99" s="6">
        <f t="shared" si="24"/>
        <v>97.498789886514288</v>
      </c>
      <c r="AO99" s="6">
        <f t="shared" si="25"/>
        <v>25.655789886514341</v>
      </c>
      <c r="AP99" s="100">
        <f t="shared" si="26"/>
        <v>-1513.25</v>
      </c>
      <c r="AQ99" s="218">
        <v>196813.47976139479</v>
      </c>
      <c r="AR99" s="100">
        <f t="shared" si="27"/>
        <v>-29.84331124804693</v>
      </c>
      <c r="AS99" s="100">
        <f t="shared" si="28"/>
        <v>-52.643601041554874</v>
      </c>
      <c r="AT99" s="6">
        <f t="shared" si="29"/>
        <v>28.745184031113251</v>
      </c>
      <c r="AU99" s="6" t="str">
        <f t="shared" si="30"/>
        <v/>
      </c>
      <c r="AV99" s="6" t="str">
        <f t="shared" si="31"/>
        <v/>
      </c>
      <c r="AW99" s="6">
        <f t="shared" si="32"/>
        <v>344.80642840519357</v>
      </c>
      <c r="AX99" s="12" t="str">
        <f t="shared" si="33"/>
        <v/>
      </c>
      <c r="AY99" s="6" t="str">
        <f t="shared" si="34"/>
        <v/>
      </c>
      <c r="AZ99" s="6" t="str">
        <f t="shared" si="35"/>
        <v/>
      </c>
      <c r="BA99" s="6">
        <f t="shared" si="45"/>
        <v>5.121645470507976E-5</v>
      </c>
      <c r="BB99" s="12" t="str">
        <f t="shared" si="37"/>
        <v/>
      </c>
      <c r="BC99" s="6" t="str">
        <f t="shared" si="38"/>
        <v/>
      </c>
      <c r="BD99" s="6" t="str">
        <f t="shared" si="39"/>
        <v/>
      </c>
      <c r="BE99" s="6">
        <f t="shared" si="40"/>
        <v>8.4507150263381611E-2</v>
      </c>
      <c r="BF99" s="12" t="str">
        <f t="shared" si="41"/>
        <v/>
      </c>
      <c r="BG99" s="12">
        <f t="shared" si="42"/>
        <v>8.4507150263381611E-2</v>
      </c>
      <c r="BH99" s="23"/>
      <c r="BI99" s="23"/>
      <c r="BJ99" s="23"/>
    </row>
    <row r="100" spans="1:62">
      <c r="A100" s="22"/>
      <c r="B100" s="6"/>
      <c r="C100" s="100">
        <f>'主翼(型紙出力)'!B106</f>
        <v>55</v>
      </c>
      <c r="D100" s="227" t="str">
        <f t="shared" si="5"/>
        <v>2</v>
      </c>
      <c r="E100" s="12">
        <f>'主翼(型紙出力)'!C106</f>
        <v>8.3500000000000068</v>
      </c>
      <c r="F100" s="6">
        <f t="shared" si="6"/>
        <v>35.238999999999976</v>
      </c>
      <c r="G100" s="6">
        <f t="shared" si="6"/>
        <v>33.109886578449881</v>
      </c>
      <c r="H100" s="6">
        <f t="shared" si="7"/>
        <v>33.474999999999973</v>
      </c>
      <c r="I100" s="6">
        <f t="shared" si="7"/>
        <v>31.639886578449879</v>
      </c>
      <c r="J100" s="203">
        <v>217834.7789580411</v>
      </c>
      <c r="K100" s="203">
        <v>225863.32722184277</v>
      </c>
      <c r="L100" s="203">
        <v>441457.05384346779</v>
      </c>
      <c r="M100" s="204">
        <v>357.36180338025622</v>
      </c>
      <c r="N100" s="204">
        <v>3902.0428119308831</v>
      </c>
      <c r="O100" s="196">
        <v>221.58768249800468</v>
      </c>
      <c r="P100" s="6">
        <f t="shared" si="1"/>
        <v>85.918359090644557</v>
      </c>
      <c r="Q100" s="12">
        <f t="shared" si="2"/>
        <v>15.282867242546336</v>
      </c>
      <c r="R100" s="96">
        <f t="shared" si="8"/>
        <v>18716.006760948159</v>
      </c>
      <c r="S100" s="202">
        <f t="shared" si="9"/>
        <v>6746.7295471753478</v>
      </c>
      <c r="T100" s="12" t="str">
        <f t="shared" si="3"/>
        <v/>
      </c>
      <c r="U100" s="12" t="str">
        <f t="shared" si="4"/>
        <v/>
      </c>
      <c r="V100" s="6" t="str">
        <f t="shared" si="10"/>
        <v/>
      </c>
      <c r="W100" s="6" t="str">
        <f t="shared" si="11"/>
        <v/>
      </c>
      <c r="X100" s="6" t="str">
        <f t="shared" si="12"/>
        <v/>
      </c>
      <c r="Y100" s="6" t="str">
        <f t="shared" si="13"/>
        <v/>
      </c>
      <c r="Z100" s="6" t="str">
        <f t="shared" si="14"/>
        <v/>
      </c>
      <c r="AA100" s="6" t="str">
        <f t="shared" si="43"/>
        <v/>
      </c>
      <c r="AB100" s="6">
        <f t="shared" si="16"/>
        <v>70.477999999999952</v>
      </c>
      <c r="AC100" s="6">
        <f t="shared" si="17"/>
        <v>66.219773156899763</v>
      </c>
      <c r="AD100" s="6">
        <f t="shared" si="18"/>
        <v>66.949999999999946</v>
      </c>
      <c r="AE100" s="12">
        <f t="shared" si="44"/>
        <v>63.279773156899758</v>
      </c>
      <c r="AF100" s="6" t="str">
        <f t="shared" si="20"/>
        <v/>
      </c>
      <c r="AG100" s="6" t="str">
        <f t="shared" si="21"/>
        <v/>
      </c>
      <c r="AH100" s="12" t="str">
        <f t="shared" si="0"/>
        <v/>
      </c>
      <c r="AI100" s="6" t="str">
        <f t="shared" si="22"/>
        <v/>
      </c>
      <c r="AJ100" s="12">
        <f>'主翼(型紙出力)'!AE106/100</f>
        <v>1</v>
      </c>
      <c r="AK100" s="12">
        <f>'主翼(型紙出力)'!AG106/100</f>
        <v>0</v>
      </c>
      <c r="AL100" s="12">
        <f>'主翼(型紙出力)'!D106/1000</f>
        <v>0.64963157894736745</v>
      </c>
      <c r="AM100" s="12">
        <f t="shared" si="23"/>
        <v>14.593327618117016</v>
      </c>
      <c r="AN100" s="6">
        <f t="shared" si="24"/>
        <v>94.802864626535822</v>
      </c>
      <c r="AO100" s="6">
        <f t="shared" si="25"/>
        <v>24.32486462653587</v>
      </c>
      <c r="AP100" s="100">
        <f t="shared" si="26"/>
        <v>-1513.25</v>
      </c>
      <c r="AQ100" s="218">
        <v>182829.69697164066</v>
      </c>
      <c r="AR100" s="100">
        <f t="shared" si="27"/>
        <v>-28.835982614440912</v>
      </c>
      <c r="AS100" s="100">
        <f t="shared" si="28"/>
        <v>-50.866673331873855</v>
      </c>
      <c r="AT100" s="6">
        <f t="shared" si="29"/>
        <v>29.749340793862647</v>
      </c>
      <c r="AU100" s="6" t="str">
        <f t="shared" si="30"/>
        <v/>
      </c>
      <c r="AV100" s="6" t="str">
        <f t="shared" si="31"/>
        <v/>
      </c>
      <c r="AW100" s="6">
        <f t="shared" si="32"/>
        <v>338.07963432920172</v>
      </c>
      <c r="AX100" s="12" t="str">
        <f t="shared" si="33"/>
        <v/>
      </c>
      <c r="AY100" s="6" t="str">
        <f t="shared" si="34"/>
        <v/>
      </c>
      <c r="AZ100" s="6" t="str">
        <f t="shared" si="35"/>
        <v/>
      </c>
      <c r="BA100" s="6">
        <f t="shared" si="45"/>
        <v>6.6719020989041135E-5</v>
      </c>
      <c r="BB100" s="12" t="str">
        <f t="shared" si="37"/>
        <v/>
      </c>
      <c r="BC100" s="6" t="str">
        <f t="shared" si="38"/>
        <v/>
      </c>
      <c r="BD100" s="6" t="str">
        <f t="shared" si="39"/>
        <v/>
      </c>
      <c r="BE100" s="6">
        <f t="shared" si="40"/>
        <v>0.11008638463191789</v>
      </c>
      <c r="BF100" s="12" t="str">
        <f t="shared" si="41"/>
        <v/>
      </c>
      <c r="BG100" s="12">
        <f t="shared" si="42"/>
        <v>0.11008638463191789</v>
      </c>
      <c r="BH100" s="23"/>
      <c r="BI100" s="23"/>
      <c r="BJ100" s="23"/>
    </row>
    <row r="101" spans="1:62">
      <c r="A101" s="22"/>
      <c r="B101" s="6"/>
      <c r="C101" s="158">
        <f>'主翼(型紙出力)'!B107</f>
        <v>56</v>
      </c>
      <c r="D101" s="227" t="str">
        <f t="shared" si="5"/>
        <v>2-3接合</v>
      </c>
      <c r="E101" s="12">
        <f>'主翼(型紙出力)'!C107</f>
        <v>8.550000000000006</v>
      </c>
      <c r="F101" s="6">
        <f t="shared" si="6"/>
        <v>37.913999999999987</v>
      </c>
      <c r="G101" s="6">
        <f t="shared" si="6"/>
        <v>37.619999999999983</v>
      </c>
      <c r="H101" s="6">
        <f t="shared" si="7"/>
        <v>32.564999999999969</v>
      </c>
      <c r="I101" s="6">
        <f t="shared" si="7"/>
        <v>30.779773156899779</v>
      </c>
      <c r="J101" s="203">
        <v>662802.2042285162</v>
      </c>
      <c r="K101" s="203">
        <v>541373.00613916386</v>
      </c>
      <c r="L101" s="203">
        <v>1166540.6651094113</v>
      </c>
      <c r="M101" s="204">
        <v>950.60491603143157</v>
      </c>
      <c r="N101" s="204">
        <v>3989.5770256543378</v>
      </c>
      <c r="O101" s="196">
        <v>223.94221509004396</v>
      </c>
      <c r="P101" s="6">
        <f t="shared" si="1"/>
        <v>85.490597517664085</v>
      </c>
      <c r="Q101" s="12">
        <f t="shared" si="2"/>
        <v>13.872508837228043</v>
      </c>
      <c r="R101" s="96">
        <f t="shared" si="8"/>
        <v>56663.356475520661</v>
      </c>
      <c r="S101" s="202">
        <f t="shared" si="9"/>
        <v>16182.845685716187</v>
      </c>
      <c r="T101" s="12" t="str">
        <f t="shared" si="3"/>
        <v/>
      </c>
      <c r="U101" s="12" t="str">
        <f t="shared" si="4"/>
        <v/>
      </c>
      <c r="V101" s="6" t="str">
        <f t="shared" si="10"/>
        <v/>
      </c>
      <c r="W101" s="6" t="str">
        <f t="shared" si="11"/>
        <v/>
      </c>
      <c r="X101" s="6" t="str">
        <f t="shared" si="12"/>
        <v/>
      </c>
      <c r="Y101" s="6" t="str">
        <f t="shared" si="13"/>
        <v/>
      </c>
      <c r="Z101" s="6" t="str">
        <f t="shared" si="14"/>
        <v/>
      </c>
      <c r="AA101" s="6" t="str">
        <f t="shared" si="43"/>
        <v/>
      </c>
      <c r="AB101" s="6">
        <f t="shared" si="16"/>
        <v>68.657999999999944</v>
      </c>
      <c r="AC101" s="6">
        <f t="shared" si="17"/>
        <v>64.499546313799556</v>
      </c>
      <c r="AD101" s="6">
        <f t="shared" si="18"/>
        <v>65.129999999999939</v>
      </c>
      <c r="AE101" s="12">
        <f t="shared" si="44"/>
        <v>61.559546313799558</v>
      </c>
      <c r="AF101" s="6">
        <f t="shared" si="20"/>
        <v>75.827999999999975</v>
      </c>
      <c r="AG101" s="6">
        <f t="shared" si="21"/>
        <v>75.239999999999966</v>
      </c>
      <c r="AH101" s="12">
        <f t="shared" si="0"/>
        <v>72.299999999999969</v>
      </c>
      <c r="AI101" s="6">
        <f t="shared" si="22"/>
        <v>72.299999999999969</v>
      </c>
      <c r="AJ101" s="12">
        <f>'主翼(型紙出力)'!AE107/100</f>
        <v>0.999999999999998</v>
      </c>
      <c r="AK101" s="12">
        <f>'主翼(型紙出力)'!AG107/100</f>
        <v>1.9556222085140373E-15</v>
      </c>
      <c r="AL101" s="12">
        <f>'主翼(型紙出力)'!D107/1000</f>
        <v>0.625</v>
      </c>
      <c r="AM101" s="12">
        <f t="shared" si="23"/>
        <v>14.593327618117014</v>
      </c>
      <c r="AN101" s="6">
        <f t="shared" si="24"/>
        <v>91.208297613231338</v>
      </c>
      <c r="AO101" s="6">
        <f t="shared" si="25"/>
        <v>15.380297613231363</v>
      </c>
      <c r="AP101" s="100">
        <f t="shared" si="26"/>
        <v>-1513.25</v>
      </c>
      <c r="AQ101" s="218">
        <v>165002.81230104808</v>
      </c>
      <c r="AR101" s="100">
        <f t="shared" si="27"/>
        <v>-8.7727780127871426</v>
      </c>
      <c r="AS101" s="100">
        <f t="shared" si="28"/>
        <v>-46.92558959039858</v>
      </c>
      <c r="AT101" s="6">
        <f t="shared" si="29"/>
        <v>32.247863334457179</v>
      </c>
      <c r="AU101" s="6" t="str">
        <f t="shared" si="30"/>
        <v/>
      </c>
      <c r="AV101" s="6" t="str">
        <f t="shared" si="31"/>
        <v/>
      </c>
      <c r="AW101" s="6">
        <f t="shared" si="32"/>
        <v>329.11057556121204</v>
      </c>
      <c r="AX101" s="12">
        <f t="shared" si="33"/>
        <v>375.42717077596495</v>
      </c>
      <c r="AY101" s="6" t="str">
        <f t="shared" si="34"/>
        <v/>
      </c>
      <c r="AZ101" s="6" t="str">
        <f t="shared" si="35"/>
        <v/>
      </c>
      <c r="BA101" s="6">
        <f t="shared" si="45"/>
        <v>5.6907657161288151E-5</v>
      </c>
      <c r="BB101" s="12">
        <f t="shared" si="37"/>
        <v>6.5038566951064136E-5</v>
      </c>
      <c r="BC101" s="6" t="str">
        <f t="shared" si="38"/>
        <v/>
      </c>
      <c r="BD101" s="6" t="str">
        <f t="shared" si="39"/>
        <v/>
      </c>
      <c r="BE101" s="6">
        <f t="shared" si="40"/>
        <v>9.3897634316125453E-2</v>
      </c>
      <c r="BF101" s="12">
        <f t="shared" si="41"/>
        <v>9.7557850426596204E-2</v>
      </c>
      <c r="BG101" s="12">
        <f t="shared" si="42"/>
        <v>0.19145548474272167</v>
      </c>
      <c r="BH101" s="23"/>
      <c r="BI101" s="23"/>
      <c r="BJ101" s="23"/>
    </row>
    <row r="102" spans="1:62">
      <c r="A102" s="22"/>
      <c r="B102" s="6"/>
      <c r="C102" s="100">
        <f>'主翼(型紙出力)'!B108</f>
        <v>57</v>
      </c>
      <c r="D102" s="227" t="str">
        <f t="shared" si="5"/>
        <v>2-3接合</v>
      </c>
      <c r="E102" s="12">
        <f>'主翼(型紙出力)'!C108</f>
        <v>8.7250000000000068</v>
      </c>
      <c r="F102" s="6">
        <f t="shared" si="6"/>
        <v>37.170249999999989</v>
      </c>
      <c r="G102" s="6">
        <f t="shared" si="6"/>
        <v>36.876249999999985</v>
      </c>
      <c r="H102" s="6">
        <f t="shared" si="7"/>
        <v>31.768749999999969</v>
      </c>
      <c r="I102" s="6">
        <f t="shared" si="7"/>
        <v>30.027173913043448</v>
      </c>
      <c r="J102" s="203">
        <v>628591.32764068374</v>
      </c>
      <c r="K102" s="203">
        <v>518383.39295604406</v>
      </c>
      <c r="L102" s="203">
        <v>1113924.0854780991</v>
      </c>
      <c r="M102" s="204">
        <v>946.388000808475</v>
      </c>
      <c r="N102" s="204">
        <v>3816.5196916447103</v>
      </c>
      <c r="O102" s="196">
        <v>219.030965607979</v>
      </c>
      <c r="P102" s="6">
        <f t="shared" si="1"/>
        <v>85.490597517664085</v>
      </c>
      <c r="Q102" s="12">
        <f t="shared" si="2"/>
        <v>13.872508837228043</v>
      </c>
      <c r="R102" s="96">
        <f t="shared" si="8"/>
        <v>53738.648194423804</v>
      </c>
      <c r="S102" s="202">
        <f t="shared" si="9"/>
        <v>15452.921719796093</v>
      </c>
      <c r="T102" s="12" t="str">
        <f t="shared" si="3"/>
        <v/>
      </c>
      <c r="U102" s="12" t="str">
        <f t="shared" si="4"/>
        <v/>
      </c>
      <c r="V102" s="6" t="str">
        <f t="shared" si="10"/>
        <v/>
      </c>
      <c r="W102" s="6" t="str">
        <f t="shared" si="11"/>
        <v/>
      </c>
      <c r="X102" s="6" t="str">
        <f t="shared" si="12"/>
        <v/>
      </c>
      <c r="Y102" s="6" t="str">
        <f t="shared" si="13"/>
        <v/>
      </c>
      <c r="Z102" s="6" t="str">
        <f t="shared" si="14"/>
        <v/>
      </c>
      <c r="AA102" s="6" t="str">
        <f t="shared" si="43"/>
        <v/>
      </c>
      <c r="AB102" s="6">
        <f t="shared" si="16"/>
        <v>67.065499999999943</v>
      </c>
      <c r="AC102" s="6">
        <f t="shared" si="17"/>
        <v>62.994347826086894</v>
      </c>
      <c r="AD102" s="6">
        <f t="shared" si="18"/>
        <v>63.537499999999937</v>
      </c>
      <c r="AE102" s="12">
        <f t="shared" si="44"/>
        <v>60.054347826086897</v>
      </c>
      <c r="AF102" s="6">
        <f t="shared" si="20"/>
        <v>74.340499999999977</v>
      </c>
      <c r="AG102" s="6">
        <f t="shared" si="21"/>
        <v>73.752499999999969</v>
      </c>
      <c r="AH102" s="12">
        <f t="shared" si="0"/>
        <v>70.812499999999972</v>
      </c>
      <c r="AI102" s="6">
        <f t="shared" si="22"/>
        <v>70.812499999999972</v>
      </c>
      <c r="AJ102" s="12">
        <f>'主翼(型紙出力)'!AE108/100</f>
        <v>0.93577981651375919</v>
      </c>
      <c r="AK102" s="12">
        <f>'主翼(型紙出力)'!AG108/100</f>
        <v>6.4220183486240756E-2</v>
      </c>
      <c r="AL102" s="12">
        <f>'主翼(型紙出力)'!D108/1000</f>
        <v>0.62178899082568806</v>
      </c>
      <c r="AM102" s="12">
        <f t="shared" si="23"/>
        <v>14.554598870830747</v>
      </c>
      <c r="AN102" s="6">
        <f t="shared" si="24"/>
        <v>90.498893437665487</v>
      </c>
      <c r="AO102" s="6">
        <f t="shared" si="25"/>
        <v>16.158393437665509</v>
      </c>
      <c r="AP102" s="100">
        <f t="shared" si="26"/>
        <v>-1513.25</v>
      </c>
      <c r="AQ102" s="218">
        <v>150074.72205782891</v>
      </c>
      <c r="AR102" s="100">
        <f t="shared" si="27"/>
        <v>-8.2295132059622187</v>
      </c>
      <c r="AS102" s="100">
        <f t="shared" si="28"/>
        <v>-44.451715582005086</v>
      </c>
      <c r="AT102" s="6">
        <f t="shared" si="29"/>
        <v>34.042555617641739</v>
      </c>
      <c r="AU102" s="6" t="str">
        <f t="shared" si="30"/>
        <v/>
      </c>
      <c r="AV102" s="6" t="str">
        <f t="shared" si="31"/>
        <v/>
      </c>
      <c r="AW102" s="6">
        <f t="shared" si="32"/>
        <v>321.26264913922142</v>
      </c>
      <c r="AX102" s="12">
        <f t="shared" si="33"/>
        <v>367.87073723619363</v>
      </c>
      <c r="AY102" s="6" t="str">
        <f t="shared" si="34"/>
        <v/>
      </c>
      <c r="AZ102" s="6" t="str">
        <f t="shared" si="35"/>
        <v/>
      </c>
      <c r="BA102" s="6">
        <f t="shared" si="45"/>
        <v>4.8189397370883332E-5</v>
      </c>
      <c r="BB102" s="12">
        <f t="shared" si="37"/>
        <v>5.4694839857872459E-5</v>
      </c>
      <c r="BC102" s="6" t="str">
        <f t="shared" si="38"/>
        <v/>
      </c>
      <c r="BD102" s="6" t="str">
        <f t="shared" si="39"/>
        <v/>
      </c>
      <c r="BE102" s="6">
        <f t="shared" si="40"/>
        <v>7.95125056619575E-2</v>
      </c>
      <c r="BF102" s="12">
        <f t="shared" si="41"/>
        <v>8.2042259786808694E-2</v>
      </c>
      <c r="BG102" s="12">
        <f t="shared" si="42"/>
        <v>0.16155476544876618</v>
      </c>
      <c r="BH102" s="23"/>
      <c r="BI102" s="23"/>
      <c r="BJ102" s="23"/>
    </row>
    <row r="103" spans="1:62">
      <c r="A103" s="22"/>
      <c r="B103" s="6"/>
      <c r="C103" s="158">
        <f>'主翼(型紙出力)'!B109</f>
        <v>58</v>
      </c>
      <c r="D103" s="227">
        <f t="shared" si="5"/>
        <v>3</v>
      </c>
      <c r="E103" s="12">
        <f>'主翼(型紙出力)'!C109</f>
        <v>8.8750000000000071</v>
      </c>
      <c r="F103" s="6">
        <f t="shared" si="6"/>
        <v>36.532749999999972</v>
      </c>
      <c r="G103" s="6">
        <f t="shared" si="6"/>
        <v>36.238749999999968</v>
      </c>
      <c r="H103" s="6">
        <f t="shared" si="7"/>
        <v>34.768749999999969</v>
      </c>
      <c r="I103" s="6">
        <f t="shared" si="7"/>
        <v>34.768749999999969</v>
      </c>
      <c r="J103" s="203">
        <v>240433.51441598276</v>
      </c>
      <c r="K103" s="203">
        <v>217272.51722520127</v>
      </c>
      <c r="L103" s="203">
        <v>455718.19197423925</v>
      </c>
      <c r="M103" s="204">
        <v>361.54023268888068</v>
      </c>
      <c r="N103" s="204">
        <v>3976.4247679749037</v>
      </c>
      <c r="O103" s="196">
        <v>223.54575377714843</v>
      </c>
      <c r="P103" s="6">
        <f t="shared" si="1"/>
        <v>55.822188957580963</v>
      </c>
      <c r="Q103" s="12">
        <f t="shared" si="2"/>
        <v>12.462150431909752</v>
      </c>
      <c r="R103" s="96">
        <f t="shared" si="8"/>
        <v>13421.525073464256</v>
      </c>
      <c r="S103" s="202">
        <f t="shared" si="9"/>
        <v>5679.2286629408973</v>
      </c>
      <c r="T103" s="12" t="str">
        <f t="shared" si="3"/>
        <v/>
      </c>
      <c r="U103" s="12" t="str">
        <f t="shared" si="4"/>
        <v/>
      </c>
      <c r="V103" s="6" t="str">
        <f t="shared" si="10"/>
        <v/>
      </c>
      <c r="W103" s="6" t="str">
        <f t="shared" si="11"/>
        <v/>
      </c>
      <c r="X103" s="6" t="str">
        <f t="shared" si="12"/>
        <v/>
      </c>
      <c r="Y103" s="6" t="str">
        <f t="shared" si="13"/>
        <v/>
      </c>
      <c r="Z103" s="6" t="str">
        <f t="shared" si="14"/>
        <v/>
      </c>
      <c r="AA103" s="6" t="str">
        <f t="shared" si="43"/>
        <v/>
      </c>
      <c r="AB103" s="6" t="str">
        <f t="shared" si="16"/>
        <v/>
      </c>
      <c r="AC103" s="6" t="str">
        <f t="shared" si="17"/>
        <v/>
      </c>
      <c r="AD103" s="6" t="str">
        <f t="shared" si="18"/>
        <v/>
      </c>
      <c r="AE103" s="12" t="str">
        <f t="shared" si="44"/>
        <v/>
      </c>
      <c r="AF103" s="6">
        <f t="shared" si="20"/>
        <v>73.065499999999943</v>
      </c>
      <c r="AG103" s="6">
        <f t="shared" si="21"/>
        <v>72.477499999999935</v>
      </c>
      <c r="AH103" s="12">
        <f t="shared" si="0"/>
        <v>69.537499999999937</v>
      </c>
      <c r="AI103" s="6">
        <f t="shared" si="22"/>
        <v>69.537499999999937</v>
      </c>
      <c r="AJ103" s="12">
        <f>'主翼(型紙出力)'!AE109/100</f>
        <v>0.88073394495412605</v>
      </c>
      <c r="AK103" s="12">
        <f>'主翼(型紙出力)'!AG109/100</f>
        <v>0.11926605504587393</v>
      </c>
      <c r="AL103" s="12">
        <f>'主翼(型紙出力)'!D109/1000</f>
        <v>0.61903669724770638</v>
      </c>
      <c r="AM103" s="12">
        <f t="shared" si="23"/>
        <v>14.521402801728232</v>
      </c>
      <c r="AN103" s="6">
        <f t="shared" si="24"/>
        <v>89.892812297854348</v>
      </c>
      <c r="AO103" s="6">
        <f t="shared" si="25"/>
        <v>16.827312297854405</v>
      </c>
      <c r="AP103" s="100">
        <f t="shared" si="26"/>
        <v>-1513.25</v>
      </c>
      <c r="AQ103" s="218">
        <v>137833.16833995236</v>
      </c>
      <c r="AR103" s="100">
        <f t="shared" si="27"/>
        <v>-20.437482844816351</v>
      </c>
      <c r="AS103" s="100">
        <f t="shared" si="28"/>
        <v>-36.051719738256104</v>
      </c>
      <c r="AT103" s="6">
        <f t="shared" si="29"/>
        <v>41.974419278374178</v>
      </c>
      <c r="AU103" s="6" t="str">
        <f t="shared" si="30"/>
        <v/>
      </c>
      <c r="AV103" s="6" t="str">
        <f t="shared" si="31"/>
        <v/>
      </c>
      <c r="AW103" s="6" t="str">
        <f t="shared" si="32"/>
        <v/>
      </c>
      <c r="AX103" s="12">
        <f t="shared" si="33"/>
        <v>361.39379420210412</v>
      </c>
      <c r="AY103" s="6" t="str">
        <f t="shared" si="34"/>
        <v/>
      </c>
      <c r="AZ103" s="6" t="str">
        <f t="shared" si="35"/>
        <v/>
      </c>
      <c r="BA103" s="6" t="str">
        <f t="shared" si="45"/>
        <v/>
      </c>
      <c r="BB103" s="12">
        <f t="shared" si="37"/>
        <v>5.3723298402759032E-5</v>
      </c>
      <c r="BC103" s="6" t="str">
        <f t="shared" si="38"/>
        <v/>
      </c>
      <c r="BD103" s="6" t="str">
        <f t="shared" si="39"/>
        <v/>
      </c>
      <c r="BE103" s="6" t="str">
        <f t="shared" si="40"/>
        <v/>
      </c>
      <c r="BF103" s="12">
        <f t="shared" si="41"/>
        <v>8.0584947604138549E-2</v>
      </c>
      <c r="BG103" s="12">
        <f t="shared" si="42"/>
        <v>8.0584947604138549E-2</v>
      </c>
      <c r="BH103" s="23"/>
      <c r="BI103" s="23"/>
      <c r="BJ103" s="23"/>
    </row>
    <row r="104" spans="1:62">
      <c r="A104" s="22"/>
      <c r="B104" s="6"/>
      <c r="C104" s="100">
        <f>'主翼(型紙出力)'!B110</f>
        <v>59</v>
      </c>
      <c r="D104" s="227">
        <f t="shared" si="5"/>
        <v>3</v>
      </c>
      <c r="E104" s="12">
        <f>'主翼(型紙出力)'!C110</f>
        <v>9.0250000000000075</v>
      </c>
      <c r="F104" s="6">
        <f t="shared" si="6"/>
        <v>35.895249999999969</v>
      </c>
      <c r="G104" s="6">
        <f t="shared" si="6"/>
        <v>35.601249999999965</v>
      </c>
      <c r="H104" s="6">
        <f t="shared" si="7"/>
        <v>34.131249999999966</v>
      </c>
      <c r="I104" s="6">
        <f t="shared" si="7"/>
        <v>34.131249999999966</v>
      </c>
      <c r="J104" s="203">
        <v>227760.89297137223</v>
      </c>
      <c r="K104" s="203">
        <v>205781.91329122137</v>
      </c>
      <c r="L104" s="203">
        <v>431658.0937012512</v>
      </c>
      <c r="M104" s="204">
        <v>355.06308556897721</v>
      </c>
      <c r="N104" s="204">
        <v>3835.1957661397437</v>
      </c>
      <c r="O104" s="196">
        <v>219.54010960122426</v>
      </c>
      <c r="P104" s="6">
        <f t="shared" si="1"/>
        <v>55.060206953541055</v>
      </c>
      <c r="Q104" s="12">
        <f t="shared" si="2"/>
        <v>12.462150431909752</v>
      </c>
      <c r="R104" s="96">
        <f t="shared" si="8"/>
        <v>12540.561902927069</v>
      </c>
      <c r="S104" s="202">
        <f t="shared" si="9"/>
        <v>5379.3880988563878</v>
      </c>
      <c r="T104" s="12" t="str">
        <f t="shared" si="3"/>
        <v/>
      </c>
      <c r="U104" s="12" t="str">
        <f t="shared" si="4"/>
        <v/>
      </c>
      <c r="V104" s="6" t="str">
        <f t="shared" si="10"/>
        <v/>
      </c>
      <c r="W104" s="6" t="str">
        <f t="shared" si="11"/>
        <v/>
      </c>
      <c r="X104" s="6" t="str">
        <f t="shared" si="12"/>
        <v/>
      </c>
      <c r="Y104" s="6" t="str">
        <f t="shared" si="13"/>
        <v/>
      </c>
      <c r="Z104" s="6" t="str">
        <f t="shared" si="14"/>
        <v/>
      </c>
      <c r="AA104" s="6" t="str">
        <f t="shared" si="43"/>
        <v/>
      </c>
      <c r="AB104" s="6" t="str">
        <f t="shared" si="16"/>
        <v/>
      </c>
      <c r="AC104" s="6" t="str">
        <f t="shared" si="17"/>
        <v/>
      </c>
      <c r="AD104" s="6" t="str">
        <f t="shared" si="18"/>
        <v/>
      </c>
      <c r="AE104" s="12" t="str">
        <f t="shared" si="44"/>
        <v/>
      </c>
      <c r="AF104" s="6">
        <f t="shared" si="20"/>
        <v>71.790499999999938</v>
      </c>
      <c r="AG104" s="6">
        <f t="shared" si="21"/>
        <v>71.20249999999993</v>
      </c>
      <c r="AH104" s="12">
        <f t="shared" si="0"/>
        <v>68.262499999999932</v>
      </c>
      <c r="AI104" s="6">
        <f t="shared" si="22"/>
        <v>68.262499999999932</v>
      </c>
      <c r="AJ104" s="12">
        <f>'主翼(型紙出力)'!AE110/100</f>
        <v>0.82568807339449291</v>
      </c>
      <c r="AK104" s="12">
        <f>'主翼(型紙出力)'!AG110/100</f>
        <v>0.17431192660550709</v>
      </c>
      <c r="AL104" s="12">
        <f>'主翼(型紙出力)'!D110/1000</f>
        <v>0.61628440366972481</v>
      </c>
      <c r="AM104" s="12">
        <f t="shared" si="23"/>
        <v>14.488206732625716</v>
      </c>
      <c r="AN104" s="6">
        <f t="shared" si="24"/>
        <v>89.288558464599319</v>
      </c>
      <c r="AO104" s="6">
        <f t="shared" si="25"/>
        <v>17.498058464599382</v>
      </c>
      <c r="AP104" s="100">
        <f t="shared" si="26"/>
        <v>-1513.25</v>
      </c>
      <c r="AQ104" s="218">
        <v>126204.86724565501</v>
      </c>
      <c r="AR104" s="100">
        <f t="shared" si="27"/>
        <v>-19.401234823242199</v>
      </c>
      <c r="AS104" s="100">
        <f t="shared" si="28"/>
        <v>-34.223778228199293</v>
      </c>
      <c r="AT104" s="6">
        <f t="shared" si="29"/>
        <v>44.216333740531624</v>
      </c>
      <c r="AU104" s="6" t="str">
        <f t="shared" si="30"/>
        <v/>
      </c>
      <c r="AV104" s="6" t="str">
        <f t="shared" si="31"/>
        <v/>
      </c>
      <c r="AW104" s="6" t="str">
        <f t="shared" si="32"/>
        <v/>
      </c>
      <c r="AX104" s="12">
        <f t="shared" si="33"/>
        <v>354.91685116801466</v>
      </c>
      <c r="AY104" s="6" t="str">
        <f t="shared" si="34"/>
        <v/>
      </c>
      <c r="AZ104" s="6" t="str">
        <f t="shared" si="35"/>
        <v/>
      </c>
      <c r="BA104" s="6" t="str">
        <f t="shared" si="45"/>
        <v/>
      </c>
      <c r="BB104" s="12">
        <f t="shared" si="37"/>
        <v>5.2751756947645552E-5</v>
      </c>
      <c r="BC104" s="6" t="str">
        <f t="shared" si="38"/>
        <v/>
      </c>
      <c r="BD104" s="6" t="str">
        <f t="shared" si="39"/>
        <v/>
      </c>
      <c r="BE104" s="6" t="str">
        <f t="shared" si="40"/>
        <v/>
      </c>
      <c r="BF104" s="12">
        <f t="shared" si="41"/>
        <v>7.9127635421468334E-2</v>
      </c>
      <c r="BG104" s="12">
        <f t="shared" si="42"/>
        <v>7.9127635421468334E-2</v>
      </c>
      <c r="BH104" s="23"/>
      <c r="BI104" s="23"/>
      <c r="BJ104" s="23"/>
    </row>
    <row r="105" spans="1:62">
      <c r="A105" s="22"/>
      <c r="B105" s="6"/>
      <c r="C105" s="158">
        <f>'主翼(型紙出力)'!B111</f>
        <v>60</v>
      </c>
      <c r="D105" s="227">
        <f t="shared" si="5"/>
        <v>3</v>
      </c>
      <c r="E105" s="12">
        <f>'主翼(型紙出力)'!C111</f>
        <v>9.1750000000000078</v>
      </c>
      <c r="F105" s="6">
        <f t="shared" si="6"/>
        <v>35.257749999999966</v>
      </c>
      <c r="G105" s="6">
        <f t="shared" si="6"/>
        <v>34.963749999999962</v>
      </c>
      <c r="H105" s="6">
        <f t="shared" si="7"/>
        <v>33.493749999999963</v>
      </c>
      <c r="I105" s="6">
        <f t="shared" si="7"/>
        <v>33.493749999999963</v>
      </c>
      <c r="J105" s="203">
        <v>215541.57681860004</v>
      </c>
      <c r="K105" s="203">
        <v>194703.74894297108</v>
      </c>
      <c r="L105" s="203">
        <v>408460.10546289914</v>
      </c>
      <c r="M105" s="204">
        <v>348.58593822221468</v>
      </c>
      <c r="N105" s="204">
        <v>3696.5202900833297</v>
      </c>
      <c r="O105" s="196">
        <v>215.5344657488275</v>
      </c>
      <c r="P105" s="6">
        <f t="shared" si="1"/>
        <v>54.29822494950114</v>
      </c>
      <c r="Q105" s="12">
        <f t="shared" si="2"/>
        <v>12.462150431909752</v>
      </c>
      <c r="R105" s="96">
        <f t="shared" si="8"/>
        <v>11703.525024066525</v>
      </c>
      <c r="S105" s="202">
        <f t="shared" si="9"/>
        <v>5090.2912797123709</v>
      </c>
      <c r="T105" s="12" t="str">
        <f t="shared" si="3"/>
        <v/>
      </c>
      <c r="U105" s="12" t="str">
        <f t="shared" si="4"/>
        <v/>
      </c>
      <c r="V105" s="6" t="str">
        <f t="shared" si="10"/>
        <v/>
      </c>
      <c r="W105" s="6" t="str">
        <f t="shared" si="11"/>
        <v/>
      </c>
      <c r="X105" s="6" t="str">
        <f t="shared" si="12"/>
        <v/>
      </c>
      <c r="Y105" s="6" t="str">
        <f t="shared" si="13"/>
        <v/>
      </c>
      <c r="Z105" s="6" t="str">
        <f t="shared" si="14"/>
        <v/>
      </c>
      <c r="AA105" s="6" t="str">
        <f t="shared" si="43"/>
        <v/>
      </c>
      <c r="AB105" s="6" t="str">
        <f t="shared" si="16"/>
        <v/>
      </c>
      <c r="AC105" s="6" t="str">
        <f t="shared" si="17"/>
        <v/>
      </c>
      <c r="AD105" s="6" t="str">
        <f t="shared" si="18"/>
        <v/>
      </c>
      <c r="AE105" s="12" t="str">
        <f t="shared" si="44"/>
        <v/>
      </c>
      <c r="AF105" s="6">
        <f t="shared" si="20"/>
        <v>70.515499999999932</v>
      </c>
      <c r="AG105" s="6">
        <f t="shared" si="21"/>
        <v>69.927499999999924</v>
      </c>
      <c r="AH105" s="12">
        <f t="shared" si="0"/>
        <v>66.987499999999926</v>
      </c>
      <c r="AI105" s="6">
        <f t="shared" si="22"/>
        <v>66.987499999999926</v>
      </c>
      <c r="AJ105" s="12">
        <f>'主翼(型紙出力)'!AE111/100</f>
        <v>0.77064220183485976</v>
      </c>
      <c r="AK105" s="12">
        <f>'主翼(型紙出力)'!AG111/100</f>
        <v>0.22935779816514029</v>
      </c>
      <c r="AL105" s="12">
        <f>'主翼(型紙出力)'!D111/1000</f>
        <v>0.61353211009174313</v>
      </c>
      <c r="AM105" s="12">
        <f t="shared" si="23"/>
        <v>14.455010663523202</v>
      </c>
      <c r="AN105" s="6">
        <f t="shared" si="24"/>
        <v>88.686131937900385</v>
      </c>
      <c r="AO105" s="6">
        <f t="shared" si="25"/>
        <v>18.170631937900453</v>
      </c>
      <c r="AP105" s="100">
        <f t="shared" si="26"/>
        <v>-1513.25</v>
      </c>
      <c r="AQ105" s="218">
        <v>115202.90919742853</v>
      </c>
      <c r="AR105" s="100">
        <f t="shared" si="27"/>
        <v>-18.373190287906244</v>
      </c>
      <c r="AS105" s="100">
        <f t="shared" si="28"/>
        <v>-32.410307667866668</v>
      </c>
      <c r="AT105" s="6">
        <f t="shared" si="29"/>
        <v>46.69039293015777</v>
      </c>
      <c r="AU105" s="6" t="str">
        <f t="shared" si="30"/>
        <v/>
      </c>
      <c r="AV105" s="6" t="str">
        <f t="shared" si="31"/>
        <v/>
      </c>
      <c r="AW105" s="6" t="str">
        <f t="shared" si="32"/>
        <v/>
      </c>
      <c r="AX105" s="12">
        <f t="shared" si="33"/>
        <v>348.43990813392446</v>
      </c>
      <c r="AY105" s="6" t="str">
        <f t="shared" si="34"/>
        <v/>
      </c>
      <c r="AZ105" s="6" t="str">
        <f t="shared" si="35"/>
        <v/>
      </c>
      <c r="BA105" s="6" t="str">
        <f t="shared" si="45"/>
        <v/>
      </c>
      <c r="BB105" s="12">
        <f t="shared" si="37"/>
        <v>5.1780215492532017E-5</v>
      </c>
      <c r="BC105" s="6" t="str">
        <f t="shared" si="38"/>
        <v/>
      </c>
      <c r="BD105" s="6" t="str">
        <f t="shared" si="39"/>
        <v/>
      </c>
      <c r="BE105" s="6" t="str">
        <f t="shared" si="40"/>
        <v/>
      </c>
      <c r="BF105" s="12">
        <f t="shared" si="41"/>
        <v>7.7670323238798022E-2</v>
      </c>
      <c r="BG105" s="12">
        <f t="shared" si="42"/>
        <v>7.7670323238798022E-2</v>
      </c>
      <c r="BH105" s="23"/>
      <c r="BI105" s="23"/>
      <c r="BJ105" s="23"/>
    </row>
    <row r="106" spans="1:62">
      <c r="A106" s="22"/>
      <c r="B106" s="6"/>
      <c r="C106" s="100">
        <f>'主翼(型紙出力)'!B112</f>
        <v>61</v>
      </c>
      <c r="D106" s="227">
        <f t="shared" si="5"/>
        <v>3</v>
      </c>
      <c r="E106" s="12">
        <f>'主翼(型紙出力)'!C112</f>
        <v>9.3250000000000082</v>
      </c>
      <c r="F106" s="6">
        <f t="shared" si="6"/>
        <v>34.620249999999963</v>
      </c>
      <c r="G106" s="6">
        <f t="shared" si="6"/>
        <v>34.326249999999959</v>
      </c>
      <c r="H106" s="6">
        <f t="shared" si="7"/>
        <v>32.85624999999996</v>
      </c>
      <c r="I106" s="6">
        <f t="shared" si="7"/>
        <v>32.85624999999996</v>
      </c>
      <c r="J106" s="203">
        <v>203767.30993842796</v>
      </c>
      <c r="K106" s="203">
        <v>184030.48609688741</v>
      </c>
      <c r="L106" s="203">
        <v>386108.49846700707</v>
      </c>
      <c r="M106" s="204">
        <v>342.10879063635673</v>
      </c>
      <c r="N106" s="204">
        <v>3560.3983398056616</v>
      </c>
      <c r="O106" s="196">
        <v>211.5288222383339</v>
      </c>
      <c r="P106" s="6">
        <f t="shared" si="1"/>
        <v>53.536242945461233</v>
      </c>
      <c r="Q106" s="12">
        <f t="shared" si="2"/>
        <v>12.462150431909752</v>
      </c>
      <c r="R106" s="96">
        <f t="shared" si="8"/>
        <v>10908.936209206779</v>
      </c>
      <c r="S106" s="202">
        <f t="shared" si="9"/>
        <v>4811.7421909346376</v>
      </c>
      <c r="T106" s="12" t="str">
        <f t="shared" si="3"/>
        <v/>
      </c>
      <c r="U106" s="12" t="str">
        <f t="shared" si="4"/>
        <v/>
      </c>
      <c r="V106" s="6" t="str">
        <f t="shared" si="10"/>
        <v/>
      </c>
      <c r="W106" s="6" t="str">
        <f t="shared" si="11"/>
        <v/>
      </c>
      <c r="X106" s="6" t="str">
        <f t="shared" si="12"/>
        <v/>
      </c>
      <c r="Y106" s="6" t="str">
        <f t="shared" si="13"/>
        <v/>
      </c>
      <c r="Z106" s="6" t="str">
        <f t="shared" si="14"/>
        <v/>
      </c>
      <c r="AA106" s="6" t="str">
        <f t="shared" si="43"/>
        <v/>
      </c>
      <c r="AB106" s="6" t="str">
        <f t="shared" si="16"/>
        <v/>
      </c>
      <c r="AC106" s="6" t="str">
        <f t="shared" si="17"/>
        <v/>
      </c>
      <c r="AD106" s="6" t="str">
        <f t="shared" si="18"/>
        <v/>
      </c>
      <c r="AE106" s="12" t="str">
        <f t="shared" si="44"/>
        <v/>
      </c>
      <c r="AF106" s="6">
        <f t="shared" si="20"/>
        <v>69.240499999999926</v>
      </c>
      <c r="AG106" s="6">
        <f t="shared" si="21"/>
        <v>68.652499999999918</v>
      </c>
      <c r="AH106" s="12">
        <f t="shared" si="0"/>
        <v>65.71249999999992</v>
      </c>
      <c r="AI106" s="6">
        <f t="shared" si="22"/>
        <v>65.71249999999992</v>
      </c>
      <c r="AJ106" s="12">
        <f>'主翼(型紙出力)'!AE112/100</f>
        <v>0.71559633027522662</v>
      </c>
      <c r="AK106" s="12">
        <f>'主翼(型紙出力)'!AG112/100</f>
        <v>0.28440366972477343</v>
      </c>
      <c r="AL106" s="12">
        <f>'主翼(型紙出力)'!D112/1000</f>
        <v>0.61077981651376145</v>
      </c>
      <c r="AM106" s="12">
        <f t="shared" si="23"/>
        <v>14.421814594420688</v>
      </c>
      <c r="AN106" s="6">
        <f t="shared" si="24"/>
        <v>88.085532717757545</v>
      </c>
      <c r="AO106" s="6">
        <f t="shared" si="25"/>
        <v>18.845032717757618</v>
      </c>
      <c r="AP106" s="100">
        <f t="shared" si="26"/>
        <v>-1513.25</v>
      </c>
      <c r="AQ106" s="218">
        <v>104812.40839807039</v>
      </c>
      <c r="AR106" s="100">
        <f t="shared" si="27"/>
        <v>-17.354045841331068</v>
      </c>
      <c r="AS106" s="100">
        <f t="shared" si="28"/>
        <v>-30.612536864108055</v>
      </c>
      <c r="AT106" s="6">
        <f t="shared" si="29"/>
        <v>49.432361869173398</v>
      </c>
      <c r="AU106" s="6" t="str">
        <f t="shared" si="30"/>
        <v/>
      </c>
      <c r="AV106" s="6" t="str">
        <f t="shared" si="31"/>
        <v/>
      </c>
      <c r="AW106" s="6" t="str">
        <f t="shared" si="32"/>
        <v/>
      </c>
      <c r="AX106" s="12">
        <f t="shared" si="33"/>
        <v>341.96296509983421</v>
      </c>
      <c r="AY106" s="6" t="str">
        <f t="shared" si="34"/>
        <v/>
      </c>
      <c r="AZ106" s="6" t="str">
        <f t="shared" si="35"/>
        <v/>
      </c>
      <c r="BA106" s="6" t="str">
        <f t="shared" si="45"/>
        <v/>
      </c>
      <c r="BB106" s="12">
        <f t="shared" si="37"/>
        <v>5.0808674037418544E-5</v>
      </c>
      <c r="BC106" s="6" t="str">
        <f t="shared" si="38"/>
        <v/>
      </c>
      <c r="BD106" s="6" t="str">
        <f t="shared" si="39"/>
        <v/>
      </c>
      <c r="BE106" s="6" t="str">
        <f t="shared" si="40"/>
        <v/>
      </c>
      <c r="BF106" s="12">
        <f t="shared" si="41"/>
        <v>7.6213011056127822E-2</v>
      </c>
      <c r="BG106" s="12">
        <f t="shared" si="42"/>
        <v>7.6213011056127822E-2</v>
      </c>
      <c r="BH106" s="23"/>
      <c r="BI106" s="23"/>
      <c r="BJ106" s="23"/>
    </row>
    <row r="107" spans="1:62">
      <c r="A107" s="22"/>
      <c r="B107" s="6"/>
      <c r="C107" s="158">
        <f>'主翼(型紙出力)'!B113</f>
        <v>62</v>
      </c>
      <c r="D107" s="227">
        <f t="shared" si="5"/>
        <v>3</v>
      </c>
      <c r="E107" s="12">
        <f>'主翼(型紙出力)'!C113</f>
        <v>9.4750000000000085</v>
      </c>
      <c r="F107" s="6">
        <f t="shared" si="6"/>
        <v>33.98274999999996</v>
      </c>
      <c r="G107" s="6">
        <f t="shared" si="6"/>
        <v>33.688749999999956</v>
      </c>
      <c r="H107" s="6">
        <f t="shared" si="7"/>
        <v>32.218749999999957</v>
      </c>
      <c r="I107" s="6">
        <f t="shared" si="7"/>
        <v>32.218749999999957</v>
      </c>
      <c r="J107" s="203">
        <v>192429.83631161193</v>
      </c>
      <c r="K107" s="203">
        <v>173754.5866693928</v>
      </c>
      <c r="L107" s="203">
        <v>364587.54392139637</v>
      </c>
      <c r="M107" s="204">
        <v>335.63164279826856</v>
      </c>
      <c r="N107" s="204">
        <v>3426.8299153067396</v>
      </c>
      <c r="O107" s="196">
        <v>207.52317908954652</v>
      </c>
      <c r="P107" s="6">
        <f t="shared" si="1"/>
        <v>52.774260941421318</v>
      </c>
      <c r="Q107" s="12">
        <f t="shared" si="2"/>
        <v>12.462150431909752</v>
      </c>
      <c r="R107" s="96">
        <f t="shared" si="8"/>
        <v>10155.342394424</v>
      </c>
      <c r="S107" s="202">
        <f t="shared" si="9"/>
        <v>4543.5448179489449</v>
      </c>
      <c r="T107" s="12" t="str">
        <f t="shared" si="3"/>
        <v/>
      </c>
      <c r="U107" s="12" t="str">
        <f t="shared" si="4"/>
        <v/>
      </c>
      <c r="V107" s="6" t="str">
        <f t="shared" si="10"/>
        <v/>
      </c>
      <c r="W107" s="6" t="str">
        <f t="shared" si="11"/>
        <v/>
      </c>
      <c r="X107" s="6" t="str">
        <f t="shared" si="12"/>
        <v/>
      </c>
      <c r="Y107" s="6" t="str">
        <f t="shared" si="13"/>
        <v/>
      </c>
      <c r="Z107" s="6" t="str">
        <f t="shared" si="14"/>
        <v/>
      </c>
      <c r="AA107" s="6" t="str">
        <f t="shared" si="43"/>
        <v/>
      </c>
      <c r="AB107" s="6" t="str">
        <f t="shared" si="16"/>
        <v/>
      </c>
      <c r="AC107" s="6" t="str">
        <f t="shared" si="17"/>
        <v/>
      </c>
      <c r="AD107" s="6" t="str">
        <f t="shared" si="18"/>
        <v/>
      </c>
      <c r="AE107" s="12" t="str">
        <f t="shared" si="44"/>
        <v/>
      </c>
      <c r="AF107" s="6">
        <f t="shared" si="20"/>
        <v>67.965499999999921</v>
      </c>
      <c r="AG107" s="6">
        <f t="shared" si="21"/>
        <v>67.377499999999912</v>
      </c>
      <c r="AH107" s="12">
        <f t="shared" si="0"/>
        <v>64.437499999999915</v>
      </c>
      <c r="AI107" s="6">
        <f t="shared" si="22"/>
        <v>64.437499999999915</v>
      </c>
      <c r="AJ107" s="12">
        <f>'主翼(型紙出力)'!AE113/100</f>
        <v>0.66055045871559348</v>
      </c>
      <c r="AK107" s="12">
        <f>'主翼(型紙出力)'!AG113/100</f>
        <v>0.33944954128440658</v>
      </c>
      <c r="AL107" s="12">
        <f>'主翼(型紙出力)'!D113/1000</f>
        <v>0.60802752293577977</v>
      </c>
      <c r="AM107" s="12">
        <f t="shared" si="23"/>
        <v>14.388618525318172</v>
      </c>
      <c r="AN107" s="6">
        <f t="shared" si="24"/>
        <v>87.486760804170814</v>
      </c>
      <c r="AO107" s="6">
        <f t="shared" si="25"/>
        <v>19.521260804170893</v>
      </c>
      <c r="AP107" s="100">
        <f t="shared" si="26"/>
        <v>-1513.25</v>
      </c>
      <c r="AQ107" s="218">
        <v>95018.665842124334</v>
      </c>
      <c r="AR107" s="100">
        <f t="shared" si="27"/>
        <v>-16.344602082810695</v>
      </c>
      <c r="AS107" s="100">
        <f t="shared" si="28"/>
        <v>-28.831878074078112</v>
      </c>
      <c r="AT107" s="6">
        <f t="shared" si="29"/>
        <v>52.485307967520797</v>
      </c>
      <c r="AU107" s="6" t="str">
        <f t="shared" si="30"/>
        <v/>
      </c>
      <c r="AV107" s="6" t="str">
        <f t="shared" si="31"/>
        <v/>
      </c>
      <c r="AW107" s="6" t="str">
        <f t="shared" si="32"/>
        <v/>
      </c>
      <c r="AX107" s="12">
        <f t="shared" si="33"/>
        <v>335.48602206574475</v>
      </c>
      <c r="AY107" s="6" t="str">
        <f t="shared" si="34"/>
        <v/>
      </c>
      <c r="AZ107" s="6" t="str">
        <f t="shared" si="35"/>
        <v/>
      </c>
      <c r="BA107" s="6" t="str">
        <f t="shared" si="45"/>
        <v/>
      </c>
      <c r="BB107" s="12">
        <f t="shared" si="37"/>
        <v>4.9837132582305117E-5</v>
      </c>
      <c r="BC107" s="6" t="str">
        <f t="shared" si="38"/>
        <v/>
      </c>
      <c r="BD107" s="6" t="str">
        <f t="shared" si="39"/>
        <v/>
      </c>
      <c r="BE107" s="6" t="str">
        <f t="shared" si="40"/>
        <v/>
      </c>
      <c r="BF107" s="12">
        <f t="shared" si="41"/>
        <v>7.4755698873457677E-2</v>
      </c>
      <c r="BG107" s="12">
        <f t="shared" si="42"/>
        <v>7.4755698873457677E-2</v>
      </c>
      <c r="BH107" s="23"/>
      <c r="BI107" s="23"/>
      <c r="BJ107" s="23"/>
    </row>
    <row r="108" spans="1:62">
      <c r="A108" s="22"/>
      <c r="B108" s="6"/>
      <c r="C108" s="100">
        <f>'主翼(型紙出力)'!B114</f>
        <v>63</v>
      </c>
      <c r="D108" s="227">
        <f t="shared" si="5"/>
        <v>3</v>
      </c>
      <c r="E108" s="12">
        <f>'主翼(型紙出力)'!C114</f>
        <v>9.6250000000000089</v>
      </c>
      <c r="F108" s="6">
        <f t="shared" si="6"/>
        <v>33.345249999999965</v>
      </c>
      <c r="G108" s="6">
        <f t="shared" si="6"/>
        <v>33.05124999999996</v>
      </c>
      <c r="H108" s="6">
        <f t="shared" si="7"/>
        <v>31.581249999999962</v>
      </c>
      <c r="I108" s="6">
        <f t="shared" si="7"/>
        <v>31.581249999999962</v>
      </c>
      <c r="J108" s="203">
        <v>181520.8999189134</v>
      </c>
      <c r="K108" s="203">
        <v>163868.51257692196</v>
      </c>
      <c r="L108" s="203">
        <v>343881.51303389762</v>
      </c>
      <c r="M108" s="204">
        <v>329.15449469383071</v>
      </c>
      <c r="N108" s="204">
        <v>3295.8150165865641</v>
      </c>
      <c r="O108" s="196">
        <v>203.5175363238221</v>
      </c>
      <c r="P108" s="6">
        <f t="shared" si="1"/>
        <v>52.01227893738141</v>
      </c>
      <c r="Q108" s="12">
        <f t="shared" si="2"/>
        <v>12.462150431909752</v>
      </c>
      <c r="R108" s="96">
        <f t="shared" si="8"/>
        <v>9441.3156795470186</v>
      </c>
      <c r="S108" s="202">
        <f t="shared" si="9"/>
        <v>4285.5031461811659</v>
      </c>
      <c r="T108" s="12" t="str">
        <f t="shared" si="3"/>
        <v/>
      </c>
      <c r="U108" s="12" t="str">
        <f t="shared" si="4"/>
        <v/>
      </c>
      <c r="V108" s="6" t="str">
        <f t="shared" si="10"/>
        <v/>
      </c>
      <c r="W108" s="6" t="str">
        <f t="shared" si="11"/>
        <v/>
      </c>
      <c r="X108" s="6" t="str">
        <f t="shared" si="12"/>
        <v/>
      </c>
      <c r="Y108" s="6" t="str">
        <f t="shared" si="13"/>
        <v/>
      </c>
      <c r="Z108" s="6" t="str">
        <f t="shared" si="14"/>
        <v/>
      </c>
      <c r="AA108" s="6" t="str">
        <f t="shared" si="43"/>
        <v/>
      </c>
      <c r="AB108" s="6" t="str">
        <f t="shared" si="16"/>
        <v/>
      </c>
      <c r="AC108" s="6" t="str">
        <f t="shared" si="17"/>
        <v/>
      </c>
      <c r="AD108" s="6" t="str">
        <f t="shared" si="18"/>
        <v/>
      </c>
      <c r="AE108" s="12" t="str">
        <f t="shared" si="44"/>
        <v/>
      </c>
      <c r="AF108" s="6">
        <f t="shared" si="20"/>
        <v>66.690499999999929</v>
      </c>
      <c r="AG108" s="6">
        <f t="shared" si="21"/>
        <v>66.102499999999921</v>
      </c>
      <c r="AH108" s="12">
        <f t="shared" si="0"/>
        <v>63.162499999999923</v>
      </c>
      <c r="AI108" s="6">
        <f t="shared" si="22"/>
        <v>63.162499999999923</v>
      </c>
      <c r="AJ108" s="12">
        <f>'主翼(型紙出力)'!AE114/100</f>
        <v>0.60550458715596023</v>
      </c>
      <c r="AK108" s="12">
        <f>'主翼(型紙出力)'!AG114/100</f>
        <v>0.39449541284403977</v>
      </c>
      <c r="AL108" s="12">
        <f>'主翼(型紙出力)'!D114/1000</f>
        <v>0.60527522935779809</v>
      </c>
      <c r="AM108" s="12">
        <f t="shared" si="23"/>
        <v>14.355422456215656</v>
      </c>
      <c r="AN108" s="6">
        <f t="shared" si="24"/>
        <v>86.889816197140163</v>
      </c>
      <c r="AO108" s="6">
        <f t="shared" si="25"/>
        <v>20.199316197140234</v>
      </c>
      <c r="AP108" s="100">
        <f t="shared" si="26"/>
        <v>-1513.25</v>
      </c>
      <c r="AQ108" s="218">
        <v>85807.110778790957</v>
      </c>
      <c r="AR108" s="100">
        <f t="shared" si="27"/>
        <v>-15.345768394900633</v>
      </c>
      <c r="AS108" s="100">
        <f t="shared" si="28"/>
        <v>-27.06993544860476</v>
      </c>
      <c r="AT108" s="6">
        <f t="shared" si="29"/>
        <v>55.901500130026946</v>
      </c>
      <c r="AU108" s="6" t="str">
        <f t="shared" si="30"/>
        <v/>
      </c>
      <c r="AV108" s="6" t="str">
        <f t="shared" si="31"/>
        <v/>
      </c>
      <c r="AW108" s="6" t="str">
        <f t="shared" si="32"/>
        <v/>
      </c>
      <c r="AX108" s="12">
        <f t="shared" si="33"/>
        <v>329.00907903165523</v>
      </c>
      <c r="AY108" s="6" t="str">
        <f t="shared" si="34"/>
        <v/>
      </c>
      <c r="AZ108" s="6" t="str">
        <f t="shared" si="35"/>
        <v/>
      </c>
      <c r="BA108" s="6" t="str">
        <f t="shared" si="45"/>
        <v/>
      </c>
      <c r="BB108" s="12">
        <f t="shared" si="37"/>
        <v>4.8865591127191664E-5</v>
      </c>
      <c r="BC108" s="6" t="str">
        <f t="shared" si="38"/>
        <v/>
      </c>
      <c r="BD108" s="6" t="str">
        <f t="shared" si="39"/>
        <v/>
      </c>
      <c r="BE108" s="6" t="str">
        <f t="shared" si="40"/>
        <v/>
      </c>
      <c r="BF108" s="12">
        <f t="shared" si="41"/>
        <v>7.329838669078749E-2</v>
      </c>
      <c r="BG108" s="12">
        <f t="shared" si="42"/>
        <v>7.329838669078749E-2</v>
      </c>
      <c r="BH108" s="23"/>
      <c r="BI108" s="23"/>
      <c r="BJ108" s="23"/>
    </row>
    <row r="109" spans="1:62">
      <c r="A109" s="22"/>
      <c r="B109" s="6"/>
      <c r="C109" s="158">
        <f>'主翼(型紙出力)'!B115</f>
        <v>64</v>
      </c>
      <c r="D109" s="227">
        <f t="shared" si="5"/>
        <v>3</v>
      </c>
      <c r="E109" s="12">
        <f>'主翼(型紙出力)'!C115</f>
        <v>9.7750000000000092</v>
      </c>
      <c r="F109" s="6">
        <f t="shared" si="6"/>
        <v>32.707749999999962</v>
      </c>
      <c r="G109" s="6">
        <f t="shared" si="6"/>
        <v>32.413749999999958</v>
      </c>
      <c r="H109" s="6">
        <f t="shared" si="7"/>
        <v>30.943749999999959</v>
      </c>
      <c r="I109" s="6">
        <f t="shared" si="7"/>
        <v>30.943749999999959</v>
      </c>
      <c r="J109" s="203">
        <v>171032.24474108868</v>
      </c>
      <c r="K109" s="203">
        <v>154364.72573590413</v>
      </c>
      <c r="L109" s="203">
        <v>323974.67701233417</v>
      </c>
      <c r="M109" s="204">
        <v>322.67734630787663</v>
      </c>
      <c r="N109" s="204">
        <v>3167.3536436451341</v>
      </c>
      <c r="O109" s="196">
        <v>199.51189396423069</v>
      </c>
      <c r="P109" s="6">
        <f t="shared" si="1"/>
        <v>51.250296933341502</v>
      </c>
      <c r="Q109" s="12">
        <f t="shared" si="2"/>
        <v>12.462150431909752</v>
      </c>
      <c r="R109" s="96">
        <f t="shared" si="8"/>
        <v>8765.4533281567292</v>
      </c>
      <c r="S109" s="202">
        <f t="shared" si="9"/>
        <v>4037.4211610570824</v>
      </c>
      <c r="T109" s="12" t="str">
        <f t="shared" si="3"/>
        <v/>
      </c>
      <c r="U109" s="12" t="str">
        <f t="shared" si="4"/>
        <v/>
      </c>
      <c r="V109" s="6" t="str">
        <f t="shared" si="10"/>
        <v/>
      </c>
      <c r="W109" s="6" t="str">
        <f t="shared" si="11"/>
        <v/>
      </c>
      <c r="X109" s="6" t="str">
        <f t="shared" si="12"/>
        <v/>
      </c>
      <c r="Y109" s="6" t="str">
        <f t="shared" si="13"/>
        <v/>
      </c>
      <c r="Z109" s="6" t="str">
        <f t="shared" si="14"/>
        <v/>
      </c>
      <c r="AA109" s="6" t="str">
        <f t="shared" si="43"/>
        <v/>
      </c>
      <c r="AB109" s="6" t="str">
        <f t="shared" si="16"/>
        <v/>
      </c>
      <c r="AC109" s="6" t="str">
        <f t="shared" si="17"/>
        <v/>
      </c>
      <c r="AD109" s="6" t="str">
        <f t="shared" si="18"/>
        <v/>
      </c>
      <c r="AE109" s="12" t="str">
        <f t="shared" si="44"/>
        <v/>
      </c>
      <c r="AF109" s="6">
        <f t="shared" si="20"/>
        <v>65.415499999999923</v>
      </c>
      <c r="AG109" s="6">
        <f t="shared" si="21"/>
        <v>64.827499999999915</v>
      </c>
      <c r="AH109" s="12">
        <f t="shared" ref="AH109:AH126" si="46">IF(E109&lt;$M$12,"",IF(E109&lt;$M$13,$AJ$12*E109+$AK$12,IF(E109&lt;=$M$15,$AJ$13*E109+$AK$13,"")))</f>
        <v>61.887499999999918</v>
      </c>
      <c r="AI109" s="6">
        <f t="shared" si="22"/>
        <v>61.887499999999918</v>
      </c>
      <c r="AJ109" s="12">
        <f>'主翼(型紙出力)'!AE115/100</f>
        <v>0.55045871559632709</v>
      </c>
      <c r="AK109" s="12">
        <f>'主翼(型紙出力)'!AG115/100</f>
        <v>0.44954128440367291</v>
      </c>
      <c r="AL109" s="12">
        <f>'主翼(型紙出力)'!D115/1000</f>
        <v>0.60252293577981653</v>
      </c>
      <c r="AM109" s="12">
        <f t="shared" si="23"/>
        <v>14.32222638711314</v>
      </c>
      <c r="AN109" s="6">
        <f t="shared" si="24"/>
        <v>86.294698896665651</v>
      </c>
      <c r="AO109" s="6">
        <f t="shared" si="25"/>
        <v>20.879198896665727</v>
      </c>
      <c r="AP109" s="100">
        <f t="shared" si="26"/>
        <v>-1513.25</v>
      </c>
      <c r="AQ109" s="218">
        <v>77163.266281645454</v>
      </c>
      <c r="AR109" s="100">
        <f t="shared" si="27"/>
        <v>-14.358572125277732</v>
      </c>
      <c r="AS109" s="100">
        <f t="shared" si="28"/>
        <v>-25.32852122898996</v>
      </c>
      <c r="AT109" s="6">
        <f t="shared" si="29"/>
        <v>59.744901264429039</v>
      </c>
      <c r="AU109" s="6" t="str">
        <f t="shared" si="30"/>
        <v/>
      </c>
      <c r="AV109" s="6" t="str">
        <f t="shared" si="31"/>
        <v/>
      </c>
      <c r="AW109" s="6" t="str">
        <f t="shared" si="32"/>
        <v/>
      </c>
      <c r="AX109" s="12">
        <f t="shared" si="33"/>
        <v>322.53213599756538</v>
      </c>
      <c r="AY109" s="6" t="str">
        <f t="shared" si="34"/>
        <v/>
      </c>
      <c r="AZ109" s="6" t="str">
        <f t="shared" si="35"/>
        <v/>
      </c>
      <c r="BA109" s="6" t="str">
        <f t="shared" si="45"/>
        <v/>
      </c>
      <c r="BB109" s="12">
        <f t="shared" si="37"/>
        <v>4.7894049672078177E-5</v>
      </c>
      <c r="BC109" s="6" t="str">
        <f t="shared" si="38"/>
        <v/>
      </c>
      <c r="BD109" s="6" t="str">
        <f t="shared" si="39"/>
        <v/>
      </c>
      <c r="BE109" s="6" t="str">
        <f t="shared" si="40"/>
        <v/>
      </c>
      <c r="BF109" s="12">
        <f t="shared" si="41"/>
        <v>7.1841074508117261E-2</v>
      </c>
      <c r="BG109" s="12">
        <f t="shared" si="42"/>
        <v>7.1841074508117261E-2</v>
      </c>
      <c r="BH109" s="23"/>
      <c r="BI109" s="23"/>
      <c r="BJ109" s="23"/>
    </row>
    <row r="110" spans="1:62">
      <c r="A110" s="22"/>
      <c r="B110" s="6"/>
      <c r="C110" s="100">
        <f>'主翼(型紙出力)'!B116</f>
        <v>65</v>
      </c>
      <c r="D110" s="227">
        <f t="shared" si="5"/>
        <v>3</v>
      </c>
      <c r="E110" s="12">
        <f>'主翼(型紙出力)'!C116</f>
        <v>9.9250000000000096</v>
      </c>
      <c r="F110" s="6">
        <f t="shared" si="6"/>
        <v>32.070249999999959</v>
      </c>
      <c r="G110" s="6">
        <f t="shared" si="6"/>
        <v>31.776249999999955</v>
      </c>
      <c r="H110" s="6">
        <f t="shared" si="7"/>
        <v>30.306249999999956</v>
      </c>
      <c r="I110" s="6">
        <f t="shared" si="7"/>
        <v>30.306249999999956</v>
      </c>
      <c r="J110" s="203">
        <v>160955.61475889408</v>
      </c>
      <c r="K110" s="203">
        <v>145235.68806276581</v>
      </c>
      <c r="L110" s="203">
        <v>304851.30706453155</v>
      </c>
      <c r="M110" s="204">
        <v>316.2001976240432</v>
      </c>
      <c r="N110" s="204">
        <v>3041.4457964824501</v>
      </c>
      <c r="O110" s="196">
        <v>195.50625203573875</v>
      </c>
      <c r="P110" s="6">
        <f t="shared" ref="P110:P132" si="47">IF(E110&lt;$M$8,$G$6,IF(E110&lt;$M$9,($G$6+$G$8)/2,IF(E110&lt;$M$10,$G$8,IF(E110&lt;$M$11,($G$8+$G$9)/2,IF(E110&lt;$M$12,$G$9,IF(E110&lt;$M$13,($G$9+$G$10)/2,IF(E110&lt;$M$15,G74)))))))</f>
        <v>50.488314929301588</v>
      </c>
      <c r="Q110" s="12">
        <f t="shared" ref="Q110:Q132" si="48">IF(E110&lt;$M$8,$H$6,IF(E110&lt;$M$9,($H$6+$H$8)/2,IF(E110&lt;$M$10,$H$8,IF(E110&lt;$M$11,($H$8+$H$9)/2,IF(E110&lt;$M$12,$H$9,IF(E110&lt;$M$13,($H$9+$H$10)/2,IF(E110&lt;$M$15,$H$10)))))))</f>
        <v>12.462150431909752</v>
      </c>
      <c r="R110" s="96">
        <f t="shared" si="8"/>
        <v>8126.3777675863867</v>
      </c>
      <c r="S110" s="202">
        <f t="shared" si="9"/>
        <v>3799.1028480025038</v>
      </c>
      <c r="T110" s="12" t="str">
        <f t="shared" ref="T110:T128" si="49">IF(V110="","",V110+2*$D$28*$C$6)</f>
        <v/>
      </c>
      <c r="U110" s="12" t="str">
        <f t="shared" ref="U110:U128" si="50">IF(W110="","",W110+2*$D$28*$D$6)</f>
        <v/>
      </c>
      <c r="V110" s="6" t="str">
        <f t="shared" si="10"/>
        <v/>
      </c>
      <c r="W110" s="6" t="str">
        <f t="shared" si="11"/>
        <v/>
      </c>
      <c r="X110" s="6" t="str">
        <f t="shared" si="12"/>
        <v/>
      </c>
      <c r="Y110" s="6" t="str">
        <f t="shared" si="13"/>
        <v/>
      </c>
      <c r="Z110" s="6" t="str">
        <f t="shared" si="14"/>
        <v/>
      </c>
      <c r="AA110" s="6" t="str">
        <f t="shared" si="43"/>
        <v/>
      </c>
      <c r="AB110" s="6" t="str">
        <f t="shared" si="16"/>
        <v/>
      </c>
      <c r="AC110" s="6" t="str">
        <f t="shared" si="17"/>
        <v/>
      </c>
      <c r="AD110" s="6" t="str">
        <f t="shared" si="18"/>
        <v/>
      </c>
      <c r="AE110" s="12" t="str">
        <f t="shared" si="44"/>
        <v/>
      </c>
      <c r="AF110" s="6">
        <f t="shared" si="20"/>
        <v>64.140499999999918</v>
      </c>
      <c r="AG110" s="6">
        <f t="shared" si="21"/>
        <v>63.55249999999991</v>
      </c>
      <c r="AH110" s="12">
        <f t="shared" si="46"/>
        <v>60.612499999999912</v>
      </c>
      <c r="AI110" s="6">
        <f t="shared" si="22"/>
        <v>60.612499999999912</v>
      </c>
      <c r="AJ110" s="12">
        <f>'主翼(型紙出力)'!AE116/100</f>
        <v>0.49541284403669394</v>
      </c>
      <c r="AK110" s="12">
        <f>'主翼(型紙出力)'!AG116/100</f>
        <v>0.50458715596330606</v>
      </c>
      <c r="AL110" s="12">
        <f>'主翼(型紙出力)'!D116/1000</f>
        <v>0.59977064220183496</v>
      </c>
      <c r="AM110" s="12">
        <f t="shared" si="23"/>
        <v>14.289030318010624</v>
      </c>
      <c r="AN110" s="6">
        <f t="shared" si="24"/>
        <v>85.701408902747218</v>
      </c>
      <c r="AO110" s="6">
        <f t="shared" si="25"/>
        <v>21.5609089027473</v>
      </c>
      <c r="AP110" s="100">
        <f t="shared" si="26"/>
        <v>-1513.25</v>
      </c>
      <c r="AQ110" s="218">
        <v>69072.723600574885</v>
      </c>
      <c r="AR110" s="100">
        <f t="shared" si="27"/>
        <v>-13.384170381770337</v>
      </c>
      <c r="AS110" s="100">
        <f t="shared" si="28"/>
        <v>-23.609676553442913</v>
      </c>
      <c r="AT110" s="6">
        <f t="shared" si="29"/>
        <v>64.09448247097346</v>
      </c>
      <c r="AU110" s="6" t="str">
        <f t="shared" si="30"/>
        <v/>
      </c>
      <c r="AV110" s="6" t="str">
        <f t="shared" si="31"/>
        <v/>
      </c>
      <c r="AW110" s="6" t="str">
        <f t="shared" si="32"/>
        <v/>
      </c>
      <c r="AX110" s="12">
        <f t="shared" si="33"/>
        <v>316.05519296347552</v>
      </c>
      <c r="AY110" s="6" t="str">
        <f t="shared" si="34"/>
        <v/>
      </c>
      <c r="AZ110" s="6" t="str">
        <f t="shared" si="35"/>
        <v/>
      </c>
      <c r="BA110" s="6" t="str">
        <f t="shared" si="45"/>
        <v/>
      </c>
      <c r="BB110" s="12">
        <f t="shared" si="37"/>
        <v>4.6922508216964669E-5</v>
      </c>
      <c r="BC110" s="6" t="str">
        <f t="shared" si="38"/>
        <v/>
      </c>
      <c r="BD110" s="6" t="str">
        <f t="shared" si="39"/>
        <v/>
      </c>
      <c r="BE110" s="6" t="str">
        <f t="shared" si="40"/>
        <v/>
      </c>
      <c r="BF110" s="12">
        <f t="shared" si="41"/>
        <v>7.0383762325447005E-2</v>
      </c>
      <c r="BG110" s="12">
        <f t="shared" si="42"/>
        <v>7.0383762325447005E-2</v>
      </c>
      <c r="BH110" s="23"/>
      <c r="BI110" s="23"/>
      <c r="BJ110" s="23"/>
    </row>
    <row r="111" spans="1:62">
      <c r="A111" s="22"/>
      <c r="B111" s="6"/>
      <c r="C111" s="158">
        <f>'主翼(型紙出力)'!B117</f>
        <v>66</v>
      </c>
      <c r="D111" s="227">
        <f t="shared" ref="D111:D128" si="51">IF(E111&lt;$M$8,"0",IF(E111&lt;$M$9,"0-1接合",IF(E111&lt;$M$10,"1",IF(E111&lt;$M$11,"1-2接合",IF(E111&lt;$M$12,"2",IF(E111&lt;$M$13,"2-3接合",3))))))</f>
        <v>3</v>
      </c>
      <c r="E111" s="12">
        <f>'主翼(型紙出力)'!C117</f>
        <v>10.07500000000001</v>
      </c>
      <c r="F111" s="6">
        <f t="shared" ref="F111:G128" si="52">MAX(T111,X111,AB111,AF111)/2</f>
        <v>31.432749999999952</v>
      </c>
      <c r="G111" s="6">
        <f t="shared" si="52"/>
        <v>31.138749999999952</v>
      </c>
      <c r="H111" s="6">
        <f t="shared" ref="H111:I128" si="53">MIN(V111,Z111,AD111,AH111)/2</f>
        <v>29.668749999999953</v>
      </c>
      <c r="I111" s="6">
        <f t="shared" si="53"/>
        <v>29.668749999999953</v>
      </c>
      <c r="J111" s="203">
        <v>151282.75395308287</v>
      </c>
      <c r="K111" s="203">
        <v>136473.86147393091</v>
      </c>
      <c r="L111" s="203">
        <v>286495.67439830583</v>
      </c>
      <c r="M111" s="204">
        <v>309.72304862468781</v>
      </c>
      <c r="N111" s="204">
        <v>2918.0914750985116</v>
      </c>
      <c r="O111" s="196">
        <v>191.50061056539749</v>
      </c>
      <c r="P111" s="6">
        <f t="shared" si="47"/>
        <v>49.726332925261673</v>
      </c>
      <c r="Q111" s="12">
        <f t="shared" si="48"/>
        <v>12.462150431909752</v>
      </c>
      <c r="R111" s="96">
        <f t="shared" ref="R111:R128" si="54">P111*(10^9)*J111*(10^-12)</f>
        <v>7522.7365889214452</v>
      </c>
      <c r="S111" s="202">
        <f t="shared" ref="S111:S128" si="55">Q111*(10^9)*L111*(10^-12)</f>
        <v>3570.3521924431225</v>
      </c>
      <c r="T111" s="12" t="str">
        <f t="shared" si="49"/>
        <v/>
      </c>
      <c r="U111" s="12" t="str">
        <f t="shared" si="50"/>
        <v/>
      </c>
      <c r="V111" s="6" t="str">
        <f t="shared" ref="V111:V128" si="56">IF(E111&lt;$M$7,$AD$6*E111+$AE$6,IF(E111&lt;$M$8,$AD$7*E111+$AE$7,IF(E111&lt;$M$9,$AD$8*E111+$AE$8,"")))</f>
        <v/>
      </c>
      <c r="W111" s="6" t="str">
        <f t="shared" ref="W111:W128" si="57">IF(V111="","",V111*$D$20)</f>
        <v/>
      </c>
      <c r="X111" s="6" t="str">
        <f t="shared" ref="X111:X128" si="58">IF(Z111="","",Z111+2*$D$27*$C$8)</f>
        <v/>
      </c>
      <c r="Y111" s="6" t="str">
        <f t="shared" ref="Y111:Y128" si="59">IF(AA111="","",AA111+2*$D$27*$D$8)</f>
        <v/>
      </c>
      <c r="Z111" s="6" t="str">
        <f t="shared" ref="Z111:Z128" si="60">IF(E111&lt;$M$8,"",IF(E111&lt;$M$9,$AF$8*E111+$AG$8,IF(E111&lt;$M$10,$AF$9*E111+$AG$9,IF(E111&lt;$M$11,$AF$10*E111+$AG$10,""))))</f>
        <v/>
      </c>
      <c r="AA111" s="6" t="str">
        <f t="shared" si="43"/>
        <v/>
      </c>
      <c r="AB111" s="6" t="str">
        <f t="shared" ref="AB111:AB128" si="61">IF(AD111="","",AD111+2*$D$27*$C$9)</f>
        <v/>
      </c>
      <c r="AC111" s="6" t="str">
        <f t="shared" ref="AC111:AC128" si="62">IF(AE111="","",AE111+2*$D$27*$D$9)</f>
        <v/>
      </c>
      <c r="AD111" s="6" t="str">
        <f t="shared" ref="AD111:AD128" si="63">IF(E111&lt;$M$10,"",IF(E111&lt;$M$11,$AH$10*E111+$AI$10,IF(E111&lt;$M$12,$AH$11*E111+$AI$11,IF(E111&lt;$M$13,$AH$12*E111+$AI$12,""))))</f>
        <v/>
      </c>
      <c r="AE111" s="12" t="str">
        <f t="shared" si="44"/>
        <v/>
      </c>
      <c r="AF111" s="6">
        <f t="shared" ref="AF111:AF128" si="64">IF(AH111="","",AH111+2*$D$27*$C$9)</f>
        <v>62.865499999999905</v>
      </c>
      <c r="AG111" s="6">
        <f t="shared" ref="AG111:AG128" si="65">IF(AH111="","",AI111+2*$D$27*$D$9)</f>
        <v>62.277499999999904</v>
      </c>
      <c r="AH111" s="12">
        <f t="shared" si="46"/>
        <v>59.337499999999906</v>
      </c>
      <c r="AI111" s="6">
        <f t="shared" ref="AI111:AI128" si="66">IF(AH111="","",AH111*$D$23)</f>
        <v>59.337499999999906</v>
      </c>
      <c r="AJ111" s="12">
        <f>'主翼(型紙出力)'!AE117/100</f>
        <v>0.4403669724770608</v>
      </c>
      <c r="AK111" s="12">
        <f>'主翼(型紙出力)'!AG117/100</f>
        <v>0.5596330275229392</v>
      </c>
      <c r="AL111" s="12">
        <f>'主翼(型紙出力)'!D117/1000</f>
        <v>0.59701834862385317</v>
      </c>
      <c r="AM111" s="12">
        <f t="shared" ref="AM111:AM128" si="67">AJ111*$D$34+AK111*$D$35</f>
        <v>14.25583424890811</v>
      </c>
      <c r="AN111" s="6">
        <f t="shared" ref="AN111:AN132" si="68">AL111*(AM111/100)*1000</f>
        <v>85.10994621538488</v>
      </c>
      <c r="AO111" s="6">
        <f t="shared" ref="AO111:AO128" si="69">AN111-F111*2</f>
        <v>22.244446215384976</v>
      </c>
      <c r="AP111" s="100">
        <f t="shared" ref="AP111:AP128" si="70">IF(E111&lt;$M$8,$J$6,IF(E111&lt;$M$9,($J$6+$J$8)/2,IF(E111&lt;$M$10,$J$8,IF(E111&lt;$M$11,($J$8+$J$9)/2,$J$9))))</f>
        <v>-1513.25</v>
      </c>
      <c r="AQ111" s="218">
        <v>61521.120742869425</v>
      </c>
      <c r="AR111" s="100">
        <f t="shared" ref="AR111:AR128" si="71">-AQ111*AVERAGE(F111,H111)/J111</f>
        <v>-12.423864124777284</v>
      </c>
      <c r="AS111" s="100">
        <f t="shared" ref="AS111:AS128" si="72">AR111*(F111-H111)</f>
        <v>-21.91569631610712</v>
      </c>
      <c r="AT111" s="6">
        <f t="shared" ref="AT111:AT128" si="73">AP111/AS111</f>
        <v>69.048684475876072</v>
      </c>
      <c r="AU111" s="6" t="str">
        <f t="shared" ref="AU111:AU128" si="74">IF(T111="","",PI()*(T111*U111-V111*W111)/4)</f>
        <v/>
      </c>
      <c r="AV111" s="6" t="str">
        <f t="shared" ref="AV111:AV128" si="75">IF(X111="","",PI()*(X111*Y111-Z111*AA111)/4)</f>
        <v/>
      </c>
      <c r="AW111" s="6" t="str">
        <f t="shared" ref="AW111:AW128" si="76">IF(AB111="","",PI()*(AB111*AC111-AD111*AE111)/4)</f>
        <v/>
      </c>
      <c r="AX111" s="12">
        <f t="shared" ref="AX111:AX128" si="77">IF(AF111="","",PI()*(AF111*AG111-AH111*AI111)/4)</f>
        <v>309.57824992938532</v>
      </c>
      <c r="AY111" s="6" t="str">
        <f t="shared" ref="AY111:AY128" si="78">IF(E111&lt;$M$9,AVERAGE(AU111:AU112)*(10^-6)*(E112-E111),"")</f>
        <v/>
      </c>
      <c r="AZ111" s="6" t="str">
        <f t="shared" ref="AZ111:AZ128" si="79">IF(AND(E111&lt;$M$11,E111&gt;$M$8),AVERAGE(AV112,AV111)*(10^-6)*(E112-E111),"")</f>
        <v/>
      </c>
      <c r="BA111" s="6" t="str">
        <f t="shared" si="45"/>
        <v/>
      </c>
      <c r="BB111" s="12">
        <f t="shared" ref="BB111:BB127" si="80">IF(AND(E111&lt;$M$14,E111&gt;$M$12),AVERAGE(AX111:AX112)*(10^-6)*(E112-E111),"")</f>
        <v>4.5950966761851162E-5</v>
      </c>
      <c r="BC111" s="6" t="str">
        <f t="shared" ref="BC111:BC128" si="81">IF(AY111="","",AY111*$AR$4*$AR$14)</f>
        <v/>
      </c>
      <c r="BD111" s="6" t="str">
        <f t="shared" ref="BD111:BD128" si="82">IF(AZ111="","",AZ111*$AR$4*$AR$17)</f>
        <v/>
      </c>
      <c r="BE111" s="6" t="str">
        <f t="shared" ref="BE111:BE128" si="83">IF(BA111="","",BA111*$AR$4*$AR$20)</f>
        <v/>
      </c>
      <c r="BF111" s="12">
        <f t="shared" ref="BF111:BF132" si="84">IF(BB111="","",BB111*$AR$4*$AR$23)</f>
        <v>6.8926450142776749E-2</v>
      </c>
      <c r="BG111" s="12">
        <f t="shared" ref="BG111:BG134" si="85">SUM(BC111:BF111)</f>
        <v>6.8926450142776749E-2</v>
      </c>
      <c r="BH111" s="23"/>
      <c r="BI111" s="23"/>
      <c r="BJ111" s="23"/>
    </row>
    <row r="112" spans="1:62">
      <c r="A112" s="22"/>
      <c r="B112" s="6"/>
      <c r="C112" s="100">
        <f>'主翼(型紙出力)'!B118</f>
        <v>67</v>
      </c>
      <c r="D112" s="227">
        <f t="shared" si="51"/>
        <v>3</v>
      </c>
      <c r="E112" s="12">
        <f>'主翼(型紙出力)'!C118</f>
        <v>10.22500000000001</v>
      </c>
      <c r="F112" s="6">
        <f t="shared" si="52"/>
        <v>30.79524999999995</v>
      </c>
      <c r="G112" s="6">
        <f t="shared" si="52"/>
        <v>30.501249999999949</v>
      </c>
      <c r="H112" s="6">
        <f t="shared" si="53"/>
        <v>29.03124999999995</v>
      </c>
      <c r="I112" s="6">
        <f t="shared" si="53"/>
        <v>29.03124999999995</v>
      </c>
      <c r="J112" s="203">
        <v>142005.40630441273</v>
      </c>
      <c r="K112" s="203">
        <v>128071.70788582959</v>
      </c>
      <c r="L112" s="203">
        <v>268892.05022148346</v>
      </c>
      <c r="M112" s="204">
        <v>303.24589929075034</v>
      </c>
      <c r="N112" s="204">
        <v>2797.2906794933192</v>
      </c>
      <c r="O112" s="196">
        <v>187.49496958257313</v>
      </c>
      <c r="P112" s="6">
        <f t="shared" si="47"/>
        <v>48.964350921221765</v>
      </c>
      <c r="Q112" s="12">
        <f t="shared" si="48"/>
        <v>12.462150431909752</v>
      </c>
      <c r="R112" s="96">
        <f t="shared" si="54"/>
        <v>6953.2025469999417</v>
      </c>
      <c r="S112" s="202">
        <f t="shared" si="55"/>
        <v>3350.9731798047583</v>
      </c>
      <c r="T112" s="12" t="str">
        <f t="shared" si="49"/>
        <v/>
      </c>
      <c r="U112" s="12" t="str">
        <f t="shared" si="50"/>
        <v/>
      </c>
      <c r="V112" s="6" t="str">
        <f t="shared" si="56"/>
        <v/>
      </c>
      <c r="W112" s="6" t="str">
        <f t="shared" si="57"/>
        <v/>
      </c>
      <c r="X112" s="6" t="str">
        <f t="shared" si="58"/>
        <v/>
      </c>
      <c r="Y112" s="6" t="str">
        <f t="shared" si="59"/>
        <v/>
      </c>
      <c r="Z112" s="6" t="str">
        <f t="shared" si="60"/>
        <v/>
      </c>
      <c r="AA112" s="6" t="str">
        <f t="shared" si="43"/>
        <v/>
      </c>
      <c r="AB112" s="6" t="str">
        <f t="shared" si="61"/>
        <v/>
      </c>
      <c r="AC112" s="6" t="str">
        <f t="shared" si="62"/>
        <v/>
      </c>
      <c r="AD112" s="6" t="str">
        <f t="shared" si="63"/>
        <v/>
      </c>
      <c r="AE112" s="12" t="str">
        <f t="shared" si="44"/>
        <v/>
      </c>
      <c r="AF112" s="6">
        <f t="shared" si="64"/>
        <v>61.590499999999899</v>
      </c>
      <c r="AG112" s="6">
        <f t="shared" si="65"/>
        <v>61.002499999999898</v>
      </c>
      <c r="AH112" s="12">
        <f t="shared" si="46"/>
        <v>58.062499999999901</v>
      </c>
      <c r="AI112" s="6">
        <f t="shared" si="66"/>
        <v>58.062499999999901</v>
      </c>
      <c r="AJ112" s="12">
        <f>'主翼(型紙出力)'!AE118/100</f>
        <v>0.38532110091742749</v>
      </c>
      <c r="AK112" s="12">
        <f>'主翼(型紙出力)'!AG118/100</f>
        <v>0.61467889908257245</v>
      </c>
      <c r="AL112" s="12">
        <f>'主翼(型紙出力)'!D118/1000</f>
        <v>0.5942660550458716</v>
      </c>
      <c r="AM112" s="12">
        <f t="shared" si="67"/>
        <v>14.222638179805596</v>
      </c>
      <c r="AN112" s="6">
        <f t="shared" si="68"/>
        <v>84.520310834578666</v>
      </c>
      <c r="AO112" s="6">
        <f t="shared" si="69"/>
        <v>22.929810834578767</v>
      </c>
      <c r="AP112" s="100">
        <f t="shared" si="70"/>
        <v>-1513.25</v>
      </c>
      <c r="AQ112" s="218">
        <v>54494.12062667116</v>
      </c>
      <c r="AR112" s="100">
        <f t="shared" si="71"/>
        <v>-11.479114044020125</v>
      </c>
      <c r="AS112" s="100">
        <f t="shared" si="72"/>
        <v>-20.249157173651493</v>
      </c>
      <c r="AT112" s="6">
        <f t="shared" si="73"/>
        <v>74.731505465771363</v>
      </c>
      <c r="AU112" s="6" t="str">
        <f t="shared" si="74"/>
        <v/>
      </c>
      <c r="AV112" s="6" t="str">
        <f t="shared" si="75"/>
        <v/>
      </c>
      <c r="AW112" s="6" t="str">
        <f t="shared" si="76"/>
        <v/>
      </c>
      <c r="AX112" s="12">
        <f t="shared" si="77"/>
        <v>303.10130689529547</v>
      </c>
      <c r="AY112" s="6" t="str">
        <f t="shared" si="78"/>
        <v/>
      </c>
      <c r="AZ112" s="6" t="str">
        <f t="shared" si="79"/>
        <v/>
      </c>
      <c r="BA112" s="6" t="str">
        <f t="shared" si="45"/>
        <v/>
      </c>
      <c r="BB112" s="12">
        <f t="shared" si="80"/>
        <v>4.4979425306737715E-5</v>
      </c>
      <c r="BC112" s="6" t="str">
        <f t="shared" si="81"/>
        <v/>
      </c>
      <c r="BD112" s="6" t="str">
        <f t="shared" si="82"/>
        <v/>
      </c>
      <c r="BE112" s="6" t="str">
        <f t="shared" si="83"/>
        <v/>
      </c>
      <c r="BF112" s="12">
        <f t="shared" si="84"/>
        <v>6.7469137960106576E-2</v>
      </c>
      <c r="BG112" s="12">
        <f t="shared" si="85"/>
        <v>6.7469137960106576E-2</v>
      </c>
      <c r="BH112" s="23"/>
      <c r="BI112" s="23"/>
      <c r="BJ112" s="23"/>
    </row>
    <row r="113" spans="1:62">
      <c r="A113" s="22"/>
      <c r="B113" s="6"/>
      <c r="C113" s="158">
        <f>'主翼(型紙出力)'!B119</f>
        <v>68</v>
      </c>
      <c r="D113" s="227">
        <f t="shared" si="51"/>
        <v>3</v>
      </c>
      <c r="E113" s="12">
        <f>'主翼(型紙出力)'!C119</f>
        <v>10.375000000000011</v>
      </c>
      <c r="F113" s="6">
        <f t="shared" si="52"/>
        <v>30.157749999999954</v>
      </c>
      <c r="G113" s="6">
        <f t="shared" si="52"/>
        <v>29.863749999999953</v>
      </c>
      <c r="H113" s="6">
        <f t="shared" si="53"/>
        <v>28.393749999999955</v>
      </c>
      <c r="I113" s="6">
        <f t="shared" si="53"/>
        <v>28.393749999999955</v>
      </c>
      <c r="J113" s="203">
        <v>133115.31579363497</v>
      </c>
      <c r="K113" s="203">
        <v>120021.68921488171</v>
      </c>
      <c r="L113" s="203">
        <v>252024.7057418781</v>
      </c>
      <c r="M113" s="204">
        <v>296.76874960159716</v>
      </c>
      <c r="N113" s="204">
        <v>2679.0434096668741</v>
      </c>
      <c r="O113" s="196">
        <v>183.48932911919454</v>
      </c>
      <c r="P113" s="6">
        <f t="shared" si="47"/>
        <v>48.161871455576559</v>
      </c>
      <c r="Q113" s="12">
        <f t="shared" si="48"/>
        <v>12.462150431909752</v>
      </c>
      <c r="R113" s="96">
        <f t="shared" si="54"/>
        <v>6411.0827280215281</v>
      </c>
      <c r="S113" s="202">
        <f t="shared" si="55"/>
        <v>3140.7697955130743</v>
      </c>
      <c r="T113" s="12" t="str">
        <f t="shared" si="49"/>
        <v/>
      </c>
      <c r="U113" s="12" t="str">
        <f t="shared" si="50"/>
        <v/>
      </c>
      <c r="V113" s="6" t="str">
        <f t="shared" si="56"/>
        <v/>
      </c>
      <c r="W113" s="6" t="str">
        <f t="shared" si="57"/>
        <v/>
      </c>
      <c r="X113" s="6" t="str">
        <f t="shared" si="58"/>
        <v/>
      </c>
      <c r="Y113" s="6" t="str">
        <f t="shared" si="59"/>
        <v/>
      </c>
      <c r="Z113" s="6" t="str">
        <f t="shared" si="60"/>
        <v/>
      </c>
      <c r="AA113" s="6" t="str">
        <f t="shared" si="43"/>
        <v/>
      </c>
      <c r="AB113" s="6" t="str">
        <f t="shared" si="61"/>
        <v/>
      </c>
      <c r="AC113" s="6" t="str">
        <f t="shared" si="62"/>
        <v/>
      </c>
      <c r="AD113" s="6" t="str">
        <f t="shared" si="63"/>
        <v/>
      </c>
      <c r="AE113" s="12" t="str">
        <f t="shared" si="44"/>
        <v/>
      </c>
      <c r="AF113" s="6">
        <f t="shared" si="64"/>
        <v>60.315499999999908</v>
      </c>
      <c r="AG113" s="6">
        <f t="shared" si="65"/>
        <v>59.727499999999907</v>
      </c>
      <c r="AH113" s="12">
        <f t="shared" si="46"/>
        <v>56.787499999999909</v>
      </c>
      <c r="AI113" s="6">
        <f t="shared" si="66"/>
        <v>56.787499999999909</v>
      </c>
      <c r="AJ113" s="12">
        <f>'主翼(型紙出力)'!AE119/100</f>
        <v>0.33027522935779446</v>
      </c>
      <c r="AK113" s="12">
        <f>'主翼(型紙出力)'!AG119/100</f>
        <v>0.66972477064220559</v>
      </c>
      <c r="AL113" s="12">
        <f>'主翼(型紙出力)'!D119/1000</f>
        <v>0.59151376146788992</v>
      </c>
      <c r="AM113" s="12">
        <f t="shared" si="67"/>
        <v>14.18944211070308</v>
      </c>
      <c r="AN113" s="6">
        <f t="shared" si="68"/>
        <v>83.932502760328546</v>
      </c>
      <c r="AO113" s="6">
        <f t="shared" si="69"/>
        <v>23.617002760328639</v>
      </c>
      <c r="AP113" s="100">
        <f t="shared" si="70"/>
        <v>-1513.25</v>
      </c>
      <c r="AQ113" s="218">
        <v>47977.387508391294</v>
      </c>
      <c r="AR113" s="100">
        <f t="shared" si="71"/>
        <v>-10.551558203311906</v>
      </c>
      <c r="AS113" s="100">
        <f t="shared" si="72"/>
        <v>-18.612948670642194</v>
      </c>
      <c r="AT113" s="6">
        <f t="shared" si="73"/>
        <v>81.300928013991509</v>
      </c>
      <c r="AU113" s="6" t="str">
        <f t="shared" si="74"/>
        <v/>
      </c>
      <c r="AV113" s="6" t="str">
        <f t="shared" si="75"/>
        <v/>
      </c>
      <c r="AW113" s="6" t="str">
        <f t="shared" si="76"/>
        <v/>
      </c>
      <c r="AX113" s="12">
        <f t="shared" si="77"/>
        <v>296.62436386120601</v>
      </c>
      <c r="AY113" s="6" t="str">
        <f t="shared" si="78"/>
        <v/>
      </c>
      <c r="AZ113" s="6" t="str">
        <f t="shared" si="79"/>
        <v/>
      </c>
      <c r="BA113" s="6" t="str">
        <f t="shared" si="45"/>
        <v/>
      </c>
      <c r="BB113" s="12">
        <f t="shared" si="80"/>
        <v>4.4007883851624282E-5</v>
      </c>
      <c r="BC113" s="6" t="str">
        <f t="shared" si="81"/>
        <v/>
      </c>
      <c r="BD113" s="6" t="str">
        <f t="shared" si="82"/>
        <v/>
      </c>
      <c r="BE113" s="6" t="str">
        <f t="shared" si="83"/>
        <v/>
      </c>
      <c r="BF113" s="12">
        <f t="shared" si="84"/>
        <v>6.6011825777436417E-2</v>
      </c>
      <c r="BG113" s="12">
        <f t="shared" si="85"/>
        <v>6.6011825777436417E-2</v>
      </c>
      <c r="BH113" s="23"/>
      <c r="BI113" s="23"/>
      <c r="BJ113" s="23"/>
    </row>
    <row r="114" spans="1:62">
      <c r="A114" s="22"/>
      <c r="B114" s="6"/>
      <c r="C114" s="100">
        <f>'主翼(型紙出力)'!B120</f>
        <v>69</v>
      </c>
      <c r="D114" s="227">
        <f t="shared" si="51"/>
        <v>3</v>
      </c>
      <c r="E114" s="12">
        <f>'主翼(型紙出力)'!C120</f>
        <v>10.525000000000011</v>
      </c>
      <c r="F114" s="6">
        <f t="shared" si="52"/>
        <v>29.520249999999951</v>
      </c>
      <c r="G114" s="6">
        <f t="shared" si="52"/>
        <v>29.226249999999951</v>
      </c>
      <c r="H114" s="6">
        <f t="shared" si="53"/>
        <v>27.756249999999952</v>
      </c>
      <c r="I114" s="6">
        <f t="shared" si="53"/>
        <v>27.756249999999952</v>
      </c>
      <c r="J114" s="203">
        <v>124604.22640150542</v>
      </c>
      <c r="K114" s="203">
        <v>112316.26737751023</v>
      </c>
      <c r="L114" s="203">
        <v>235877.91216730868</v>
      </c>
      <c r="M114" s="204">
        <v>290.29159953488744</v>
      </c>
      <c r="N114" s="204">
        <v>2563.3496656191737</v>
      </c>
      <c r="O114" s="196">
        <v>179.4836892100395</v>
      </c>
      <c r="P114" s="6">
        <f t="shared" si="47"/>
        <v>47.301758034026463</v>
      </c>
      <c r="Q114" s="12">
        <f t="shared" si="48"/>
        <v>12.462150431909752</v>
      </c>
      <c r="R114" s="96">
        <f t="shared" si="54"/>
        <v>5893.9989672610618</v>
      </c>
      <c r="S114" s="202">
        <f t="shared" si="55"/>
        <v>2939.5460249937964</v>
      </c>
      <c r="T114" s="12" t="str">
        <f t="shared" si="49"/>
        <v/>
      </c>
      <c r="U114" s="12" t="str">
        <f t="shared" si="50"/>
        <v/>
      </c>
      <c r="V114" s="6" t="str">
        <f t="shared" si="56"/>
        <v/>
      </c>
      <c r="W114" s="6" t="str">
        <f t="shared" si="57"/>
        <v/>
      </c>
      <c r="X114" s="6" t="str">
        <f t="shared" si="58"/>
        <v/>
      </c>
      <c r="Y114" s="6" t="str">
        <f t="shared" si="59"/>
        <v/>
      </c>
      <c r="Z114" s="6" t="str">
        <f t="shared" si="60"/>
        <v/>
      </c>
      <c r="AA114" s="6" t="str">
        <f t="shared" si="43"/>
        <v/>
      </c>
      <c r="AB114" s="6" t="str">
        <f t="shared" si="61"/>
        <v/>
      </c>
      <c r="AC114" s="6" t="str">
        <f t="shared" si="62"/>
        <v/>
      </c>
      <c r="AD114" s="6" t="str">
        <f t="shared" si="63"/>
        <v/>
      </c>
      <c r="AE114" s="12" t="str">
        <f t="shared" si="44"/>
        <v/>
      </c>
      <c r="AF114" s="6">
        <f t="shared" si="64"/>
        <v>59.040499999999902</v>
      </c>
      <c r="AG114" s="6">
        <f t="shared" si="65"/>
        <v>58.452499999999901</v>
      </c>
      <c r="AH114" s="12">
        <f t="shared" si="46"/>
        <v>55.512499999999903</v>
      </c>
      <c r="AI114" s="6">
        <f t="shared" si="66"/>
        <v>55.512499999999903</v>
      </c>
      <c r="AJ114" s="12">
        <f>'主翼(型紙出力)'!AE120/100</f>
        <v>0.27522935779816121</v>
      </c>
      <c r="AK114" s="12">
        <f>'主翼(型紙出力)'!AG120/100</f>
        <v>0.72477064220183873</v>
      </c>
      <c r="AL114" s="12">
        <f>'主翼(型紙出力)'!D120/1000</f>
        <v>0.58876146788990824</v>
      </c>
      <c r="AM114" s="12">
        <f t="shared" si="67"/>
        <v>14.156246041600564</v>
      </c>
      <c r="AN114" s="6">
        <f t="shared" si="68"/>
        <v>83.346521992634507</v>
      </c>
      <c r="AO114" s="6">
        <f t="shared" si="69"/>
        <v>24.306021992634605</v>
      </c>
      <c r="AP114" s="100">
        <f t="shared" si="70"/>
        <v>-1513.25</v>
      </c>
      <c r="AQ114" s="218">
        <v>41956.557837302411</v>
      </c>
      <c r="AR114" s="100">
        <f t="shared" si="71"/>
        <v>-9.6430307958607635</v>
      </c>
      <c r="AS114" s="100">
        <f t="shared" si="72"/>
        <v>-17.01030632389838</v>
      </c>
      <c r="AT114" s="6">
        <f t="shared" si="73"/>
        <v>88.960773026996094</v>
      </c>
      <c r="AU114" s="6" t="str">
        <f t="shared" si="74"/>
        <v/>
      </c>
      <c r="AV114" s="6" t="str">
        <f t="shared" si="75"/>
        <v/>
      </c>
      <c r="AW114" s="6" t="str">
        <f t="shared" si="76"/>
        <v/>
      </c>
      <c r="AX114" s="12">
        <f t="shared" si="77"/>
        <v>290.14742082711649</v>
      </c>
      <c r="AY114" s="6" t="str">
        <f t="shared" si="78"/>
        <v/>
      </c>
      <c r="AZ114" s="6" t="str">
        <f t="shared" si="79"/>
        <v/>
      </c>
      <c r="BA114" s="6" t="str">
        <f t="shared" si="45"/>
        <v/>
      </c>
      <c r="BB114" s="12">
        <f t="shared" si="80"/>
        <v>4.3036342396510815E-5</v>
      </c>
      <c r="BC114" s="6" t="str">
        <f t="shared" si="81"/>
        <v/>
      </c>
      <c r="BD114" s="6" t="str">
        <f t="shared" si="82"/>
        <v/>
      </c>
      <c r="BE114" s="6" t="str">
        <f t="shared" si="83"/>
        <v/>
      </c>
      <c r="BF114" s="12">
        <f t="shared" si="84"/>
        <v>6.4554513594766216E-2</v>
      </c>
      <c r="BG114" s="12">
        <f t="shared" si="85"/>
        <v>6.4554513594766216E-2</v>
      </c>
      <c r="BH114" s="23"/>
      <c r="BI114" s="23"/>
      <c r="BJ114" s="23"/>
    </row>
    <row r="115" spans="1:62">
      <c r="A115" s="22"/>
      <c r="B115" s="6"/>
      <c r="C115" s="158">
        <f>'主翼(型紙出力)'!B121</f>
        <v>70</v>
      </c>
      <c r="D115" s="227">
        <f t="shared" si="51"/>
        <v>3</v>
      </c>
      <c r="E115" s="12">
        <f>'主翼(型紙出力)'!C121</f>
        <v>10.675000000000011</v>
      </c>
      <c r="F115" s="6">
        <f t="shared" si="52"/>
        <v>28.882749999999948</v>
      </c>
      <c r="G115" s="6">
        <f t="shared" si="52"/>
        <v>28.588749999999948</v>
      </c>
      <c r="H115" s="6">
        <f t="shared" si="53"/>
        <v>27.118749999999949</v>
      </c>
      <c r="I115" s="6">
        <f t="shared" si="53"/>
        <v>27.118749999999949</v>
      </c>
      <c r="J115" s="203">
        <v>116463.8821087688</v>
      </c>
      <c r="K115" s="203">
        <v>104947.90429014218</v>
      </c>
      <c r="L115" s="203">
        <v>220435.94070558102</v>
      </c>
      <c r="M115" s="204">
        <v>283.81444906634607</v>
      </c>
      <c r="N115" s="204">
        <v>2450.2094473502198</v>
      </c>
      <c r="O115" s="196">
        <v>175.47804989306297</v>
      </c>
      <c r="P115" s="6">
        <f t="shared" si="47"/>
        <v>46.656672967863898</v>
      </c>
      <c r="Q115" s="12">
        <f t="shared" si="48"/>
        <v>12.462150431909752</v>
      </c>
      <c r="R115" s="96">
        <f t="shared" si="54"/>
        <v>5433.8172601166807</v>
      </c>
      <c r="S115" s="202">
        <f t="shared" si="55"/>
        <v>2747.105853672489</v>
      </c>
      <c r="T115" s="12" t="str">
        <f t="shared" si="49"/>
        <v/>
      </c>
      <c r="U115" s="12" t="str">
        <f t="shared" si="50"/>
        <v/>
      </c>
      <c r="V115" s="6" t="str">
        <f t="shared" si="56"/>
        <v/>
      </c>
      <c r="W115" s="6" t="str">
        <f t="shared" si="57"/>
        <v/>
      </c>
      <c r="X115" s="6" t="str">
        <f t="shared" si="58"/>
        <v/>
      </c>
      <c r="Y115" s="6" t="str">
        <f t="shared" si="59"/>
        <v/>
      </c>
      <c r="Z115" s="6" t="str">
        <f t="shared" si="60"/>
        <v/>
      </c>
      <c r="AA115" s="6" t="str">
        <f t="shared" si="43"/>
        <v/>
      </c>
      <c r="AB115" s="6" t="str">
        <f t="shared" si="61"/>
        <v/>
      </c>
      <c r="AC115" s="6" t="str">
        <f t="shared" si="62"/>
        <v/>
      </c>
      <c r="AD115" s="6" t="str">
        <f t="shared" si="63"/>
        <v/>
      </c>
      <c r="AE115" s="12" t="str">
        <f t="shared" si="44"/>
        <v/>
      </c>
      <c r="AF115" s="6">
        <f t="shared" si="64"/>
        <v>57.765499999999896</v>
      </c>
      <c r="AG115" s="6">
        <f t="shared" si="65"/>
        <v>57.177499999999895</v>
      </c>
      <c r="AH115" s="12">
        <f t="shared" si="46"/>
        <v>54.237499999999898</v>
      </c>
      <c r="AI115" s="6">
        <f t="shared" si="66"/>
        <v>54.237499999999898</v>
      </c>
      <c r="AJ115" s="12">
        <f>'主翼(型紙出力)'!AE121/100</f>
        <v>0.22018348623852815</v>
      </c>
      <c r="AK115" s="12">
        <f>'主翼(型紙出力)'!AG121/100</f>
        <v>0.77981651376147187</v>
      </c>
      <c r="AL115" s="12">
        <f>'主翼(型紙出力)'!D121/1000</f>
        <v>0.58600917431192656</v>
      </c>
      <c r="AM115" s="12">
        <f t="shared" si="67"/>
        <v>14.12304997249805</v>
      </c>
      <c r="AN115" s="6">
        <f t="shared" si="68"/>
        <v>82.762368531496605</v>
      </c>
      <c r="AO115" s="6">
        <f t="shared" si="69"/>
        <v>24.996868531496709</v>
      </c>
      <c r="AP115" s="100">
        <f t="shared" si="70"/>
        <v>-1513.25</v>
      </c>
      <c r="AQ115" s="218">
        <v>36417.204556284298</v>
      </c>
      <c r="AR115" s="100">
        <f t="shared" si="71"/>
        <v>-8.7555817478850777</v>
      </c>
      <c r="AS115" s="100">
        <f t="shared" si="72"/>
        <v>-15.444846203269272</v>
      </c>
      <c r="AT115" s="6">
        <f t="shared" si="73"/>
        <v>97.97766711847764</v>
      </c>
      <c r="AU115" s="6" t="str">
        <f t="shared" si="74"/>
        <v/>
      </c>
      <c r="AV115" s="6" t="str">
        <f t="shared" si="75"/>
        <v/>
      </c>
      <c r="AW115" s="6" t="str">
        <f t="shared" si="76"/>
        <v/>
      </c>
      <c r="AX115" s="12">
        <f t="shared" si="77"/>
        <v>283.67047779302629</v>
      </c>
      <c r="AY115" s="6" t="str">
        <f t="shared" si="78"/>
        <v/>
      </c>
      <c r="AZ115" s="6" t="str">
        <f t="shared" si="79"/>
        <v/>
      </c>
      <c r="BA115" s="6" t="str">
        <f t="shared" si="45"/>
        <v/>
      </c>
      <c r="BB115" s="12">
        <f t="shared" si="80"/>
        <v>4.2064800941397321E-5</v>
      </c>
      <c r="BC115" s="6" t="str">
        <f t="shared" si="81"/>
        <v/>
      </c>
      <c r="BD115" s="6" t="str">
        <f t="shared" si="82"/>
        <v/>
      </c>
      <c r="BE115" s="6" t="str">
        <f t="shared" si="83"/>
        <v/>
      </c>
      <c r="BF115" s="12">
        <f t="shared" si="84"/>
        <v>6.3097201412095988E-2</v>
      </c>
      <c r="BG115" s="12">
        <f t="shared" si="85"/>
        <v>6.3097201412095988E-2</v>
      </c>
      <c r="BH115" s="23"/>
      <c r="BI115" s="23"/>
      <c r="BJ115" s="23"/>
    </row>
    <row r="116" spans="1:62">
      <c r="A116" s="22"/>
      <c r="B116" s="6"/>
      <c r="C116" s="100">
        <f>'主翼(型紙出力)'!B122</f>
        <v>71</v>
      </c>
      <c r="D116" s="227">
        <f t="shared" si="51"/>
        <v>3</v>
      </c>
      <c r="E116" s="12">
        <f>'主翼(型紙出力)'!C122</f>
        <v>10.825000000000012</v>
      </c>
      <c r="F116" s="6">
        <f t="shared" si="52"/>
        <v>28.245249999999945</v>
      </c>
      <c r="G116" s="6">
        <f t="shared" si="52"/>
        <v>27.951249999999945</v>
      </c>
      <c r="H116" s="6">
        <f t="shared" si="53"/>
        <v>26.481249999999946</v>
      </c>
      <c r="I116" s="6">
        <f t="shared" si="53"/>
        <v>26.481249999999946</v>
      </c>
      <c r="J116" s="203">
        <v>108686.02689617952</v>
      </c>
      <c r="K116" s="203">
        <v>97909.061869191341</v>
      </c>
      <c r="L116" s="203">
        <v>205683.06256450556</v>
      </c>
      <c r="M116" s="204">
        <v>277.33729816958646</v>
      </c>
      <c r="N116" s="204">
        <v>2339.6227548600114</v>
      </c>
      <c r="O116" s="196">
        <v>171.47241120976631</v>
      </c>
      <c r="P116" s="6">
        <f t="shared" si="47"/>
        <v>46.011587901701319</v>
      </c>
      <c r="Q116" s="12">
        <f t="shared" si="48"/>
        <v>12.462150431909752</v>
      </c>
      <c r="R116" s="96">
        <f t="shared" si="54"/>
        <v>5000.8166802202377</v>
      </c>
      <c r="S116" s="202">
        <f t="shared" si="55"/>
        <v>2563.2532669747734</v>
      </c>
      <c r="T116" s="12" t="str">
        <f t="shared" si="49"/>
        <v/>
      </c>
      <c r="U116" s="12" t="str">
        <f t="shared" si="50"/>
        <v/>
      </c>
      <c r="V116" s="6" t="str">
        <f t="shared" si="56"/>
        <v/>
      </c>
      <c r="W116" s="6" t="str">
        <f t="shared" si="57"/>
        <v/>
      </c>
      <c r="X116" s="6" t="str">
        <f t="shared" si="58"/>
        <v/>
      </c>
      <c r="Y116" s="6" t="str">
        <f t="shared" si="59"/>
        <v/>
      </c>
      <c r="Z116" s="6" t="str">
        <f t="shared" si="60"/>
        <v/>
      </c>
      <c r="AA116" s="6" t="str">
        <f t="shared" si="43"/>
        <v/>
      </c>
      <c r="AB116" s="6" t="str">
        <f t="shared" si="61"/>
        <v/>
      </c>
      <c r="AC116" s="6" t="str">
        <f t="shared" si="62"/>
        <v/>
      </c>
      <c r="AD116" s="6" t="str">
        <f t="shared" si="63"/>
        <v/>
      </c>
      <c r="AE116" s="12" t="str">
        <f t="shared" si="44"/>
        <v/>
      </c>
      <c r="AF116" s="6">
        <f t="shared" si="64"/>
        <v>56.490499999999891</v>
      </c>
      <c r="AG116" s="6">
        <f t="shared" si="65"/>
        <v>55.90249999999989</v>
      </c>
      <c r="AH116" s="12">
        <f t="shared" si="46"/>
        <v>52.962499999999892</v>
      </c>
      <c r="AI116" s="6">
        <f t="shared" si="66"/>
        <v>52.962499999999892</v>
      </c>
      <c r="AJ116" s="12">
        <f>'主翼(型紙出力)'!AE122/100</f>
        <v>0.16513761467889496</v>
      </c>
      <c r="AK116" s="12">
        <f>'主翼(型紙出力)'!AG122/100</f>
        <v>0.83486238532110502</v>
      </c>
      <c r="AL116" s="12">
        <f>'主翼(型紙出力)'!D122/1000</f>
        <v>0.58325688073394488</v>
      </c>
      <c r="AM116" s="12">
        <f t="shared" si="67"/>
        <v>14.089853903395534</v>
      </c>
      <c r="AN116" s="6">
        <f t="shared" si="68"/>
        <v>82.180042376914756</v>
      </c>
      <c r="AO116" s="6">
        <f t="shared" si="69"/>
        <v>25.689542376914865</v>
      </c>
      <c r="AP116" s="100">
        <f t="shared" si="70"/>
        <v>-1513.25</v>
      </c>
      <c r="AQ116" s="218">
        <v>31344.78813131596</v>
      </c>
      <c r="AR116" s="100">
        <f t="shared" si="71"/>
        <v>-7.8914953313504457</v>
      </c>
      <c r="AS116" s="100">
        <f t="shared" si="72"/>
        <v>-13.920597764502181</v>
      </c>
      <c r="AT116" s="6">
        <f t="shared" si="73"/>
        <v>108.70582036777326</v>
      </c>
      <c r="AU116" s="6" t="str">
        <f t="shared" si="74"/>
        <v/>
      </c>
      <c r="AV116" s="6" t="str">
        <f t="shared" si="75"/>
        <v/>
      </c>
      <c r="AW116" s="6" t="str">
        <f t="shared" si="76"/>
        <v/>
      </c>
      <c r="AX116" s="12">
        <f t="shared" si="77"/>
        <v>277.19353475893678</v>
      </c>
      <c r="AY116" s="6" t="str">
        <f t="shared" si="78"/>
        <v/>
      </c>
      <c r="AZ116" s="6" t="str">
        <f t="shared" si="79"/>
        <v/>
      </c>
      <c r="BA116" s="6" t="str">
        <f t="shared" si="45"/>
        <v/>
      </c>
      <c r="BB116" s="12">
        <f t="shared" si="80"/>
        <v>4.1093259486283868E-5</v>
      </c>
      <c r="BC116" s="6" t="str">
        <f t="shared" si="81"/>
        <v/>
      </c>
      <c r="BD116" s="6" t="str">
        <f t="shared" si="82"/>
        <v/>
      </c>
      <c r="BE116" s="6" t="str">
        <f t="shared" si="83"/>
        <v/>
      </c>
      <c r="BF116" s="12">
        <f t="shared" si="84"/>
        <v>6.1639889229425801E-2</v>
      </c>
      <c r="BG116" s="12">
        <f t="shared" si="85"/>
        <v>6.1639889229425801E-2</v>
      </c>
      <c r="BH116" s="23"/>
      <c r="BI116" s="23"/>
      <c r="BJ116" s="23"/>
    </row>
    <row r="117" spans="1:62">
      <c r="A117" s="22"/>
      <c r="B117" s="6"/>
      <c r="C117" s="158">
        <f>'主翼(型紙出力)'!B123</f>
        <v>72</v>
      </c>
      <c r="D117" s="227">
        <f t="shared" si="51"/>
        <v>3</v>
      </c>
      <c r="E117" s="12">
        <f>'主翼(型紙出力)'!C123</f>
        <v>10.975000000000012</v>
      </c>
      <c r="F117" s="6">
        <f t="shared" si="52"/>
        <v>27.607749999999943</v>
      </c>
      <c r="G117" s="6">
        <f t="shared" si="52"/>
        <v>27.313749999999942</v>
      </c>
      <c r="H117" s="6">
        <f t="shared" si="53"/>
        <v>25.843749999999943</v>
      </c>
      <c r="I117" s="6">
        <f t="shared" si="53"/>
        <v>25.843749999999943</v>
      </c>
      <c r="J117" s="203">
        <v>101262.40474448273</v>
      </c>
      <c r="K117" s="203">
        <v>91192.202031076609</v>
      </c>
      <c r="L117" s="203">
        <v>191603.54895189643</v>
      </c>
      <c r="M117" s="204">
        <v>270.86014681587091</v>
      </c>
      <c r="N117" s="204">
        <v>2231.589588148549</v>
      </c>
      <c r="O117" s="196">
        <v>167.46677320562478</v>
      </c>
      <c r="P117" s="6">
        <f t="shared" si="47"/>
        <v>45.366502835538746</v>
      </c>
      <c r="Q117" s="12">
        <f t="shared" si="48"/>
        <v>12.462150431909752</v>
      </c>
      <c r="R117" s="96">
        <f t="shared" si="54"/>
        <v>4593.9211719740479</v>
      </c>
      <c r="S117" s="202">
        <f t="shared" si="55"/>
        <v>2387.7922503263176</v>
      </c>
      <c r="T117" s="12" t="str">
        <f t="shared" si="49"/>
        <v/>
      </c>
      <c r="U117" s="12" t="str">
        <f t="shared" si="50"/>
        <v/>
      </c>
      <c r="V117" s="6" t="str">
        <f t="shared" si="56"/>
        <v/>
      </c>
      <c r="W117" s="6" t="str">
        <f t="shared" si="57"/>
        <v/>
      </c>
      <c r="X117" s="6" t="str">
        <f t="shared" si="58"/>
        <v/>
      </c>
      <c r="Y117" s="6" t="str">
        <f t="shared" si="59"/>
        <v/>
      </c>
      <c r="Z117" s="6" t="str">
        <f t="shared" si="60"/>
        <v/>
      </c>
      <c r="AA117" s="6" t="str">
        <f t="shared" si="43"/>
        <v/>
      </c>
      <c r="AB117" s="6" t="str">
        <f t="shared" si="61"/>
        <v/>
      </c>
      <c r="AC117" s="6" t="str">
        <f t="shared" si="62"/>
        <v/>
      </c>
      <c r="AD117" s="6" t="str">
        <f t="shared" si="63"/>
        <v/>
      </c>
      <c r="AE117" s="12" t="str">
        <f t="shared" si="44"/>
        <v/>
      </c>
      <c r="AF117" s="6">
        <f t="shared" si="64"/>
        <v>55.215499999999885</v>
      </c>
      <c r="AG117" s="6">
        <f t="shared" si="65"/>
        <v>54.627499999999884</v>
      </c>
      <c r="AH117" s="12">
        <f t="shared" si="46"/>
        <v>51.687499999999886</v>
      </c>
      <c r="AI117" s="6">
        <f t="shared" si="66"/>
        <v>51.687499999999886</v>
      </c>
      <c r="AJ117" s="12">
        <f>'主翼(型紙出力)'!AE123/100</f>
        <v>0.11009174311926173</v>
      </c>
      <c r="AK117" s="12">
        <f>'主翼(型紙出力)'!AG123/100</f>
        <v>0.88990825688073827</v>
      </c>
      <c r="AL117" s="12">
        <f>'主翼(型紙出力)'!D123/1000</f>
        <v>0.58050458715596331</v>
      </c>
      <c r="AM117" s="12">
        <f t="shared" si="67"/>
        <v>14.056657834293018</v>
      </c>
      <c r="AN117" s="6">
        <f t="shared" si="68"/>
        <v>81.599543528889058</v>
      </c>
      <c r="AO117" s="6">
        <f t="shared" si="69"/>
        <v>26.384043528889173</v>
      </c>
      <c r="AP117" s="100">
        <f t="shared" si="70"/>
        <v>-1513.25</v>
      </c>
      <c r="AQ117" s="218">
        <v>26724.585792006645</v>
      </c>
      <c r="AR117" s="100">
        <f t="shared" si="71"/>
        <v>-7.0533047337060699</v>
      </c>
      <c r="AS117" s="100">
        <f t="shared" si="72"/>
        <v>-12.442029550257503</v>
      </c>
      <c r="AT117" s="6">
        <f t="shared" si="73"/>
        <v>121.62404806124908</v>
      </c>
      <c r="AU117" s="6" t="str">
        <f t="shared" si="74"/>
        <v/>
      </c>
      <c r="AV117" s="6" t="str">
        <f t="shared" si="75"/>
        <v/>
      </c>
      <c r="AW117" s="6" t="str">
        <f t="shared" si="76"/>
        <v/>
      </c>
      <c r="AX117" s="12">
        <f t="shared" si="77"/>
        <v>270.71659172484692</v>
      </c>
      <c r="AY117" s="6" t="str">
        <f t="shared" si="78"/>
        <v/>
      </c>
      <c r="AZ117" s="6" t="str">
        <f t="shared" si="79"/>
        <v/>
      </c>
      <c r="BA117" s="6" t="str">
        <f t="shared" si="45"/>
        <v/>
      </c>
      <c r="BB117" s="12">
        <f t="shared" si="80"/>
        <v>4.0121718031170421E-5</v>
      </c>
      <c r="BC117" s="6" t="str">
        <f t="shared" si="81"/>
        <v/>
      </c>
      <c r="BD117" s="6" t="str">
        <f t="shared" si="82"/>
        <v/>
      </c>
      <c r="BE117" s="6" t="str">
        <f t="shared" si="83"/>
        <v/>
      </c>
      <c r="BF117" s="12">
        <f t="shared" si="84"/>
        <v>6.0182577046755635E-2</v>
      </c>
      <c r="BG117" s="12">
        <f t="shared" si="85"/>
        <v>6.0182577046755635E-2</v>
      </c>
      <c r="BH117" s="23"/>
      <c r="BI117" s="23"/>
      <c r="BJ117" s="23"/>
    </row>
    <row r="118" spans="1:62">
      <c r="A118" s="22"/>
      <c r="B118" s="6"/>
      <c r="C118" s="100">
        <f>'主翼(型紙出力)'!B124</f>
        <v>73</v>
      </c>
      <c r="D118" s="227">
        <f t="shared" si="51"/>
        <v>3</v>
      </c>
      <c r="E118" s="12">
        <f>'主翼(型紙出力)'!C124</f>
        <v>11.125000000000012</v>
      </c>
      <c r="F118" s="6">
        <f t="shared" si="52"/>
        <v>26.970249999999947</v>
      </c>
      <c r="G118" s="6">
        <f t="shared" si="52"/>
        <v>26.676249999999946</v>
      </c>
      <c r="H118" s="6">
        <f t="shared" si="53"/>
        <v>25.206249999999947</v>
      </c>
      <c r="I118" s="6">
        <f t="shared" si="53"/>
        <v>25.206249999999947</v>
      </c>
      <c r="J118" s="203">
        <v>94184.759634425645</v>
      </c>
      <c r="K118" s="203">
        <v>84789.786692213907</v>
      </c>
      <c r="L118" s="203">
        <v>178181.67107554741</v>
      </c>
      <c r="M118" s="204">
        <v>264.38299497383809</v>
      </c>
      <c r="N118" s="204">
        <v>2126.1099472158335</v>
      </c>
      <c r="O118" s="196">
        <v>163.46113593056435</v>
      </c>
      <c r="P118" s="6">
        <f t="shared" si="47"/>
        <v>44.721417769376174</v>
      </c>
      <c r="Q118" s="12">
        <f t="shared" si="48"/>
        <v>12.462150431909752</v>
      </c>
      <c r="R118" s="96">
        <f t="shared" si="54"/>
        <v>4212.0759831194273</v>
      </c>
      <c r="S118" s="202">
        <f t="shared" si="55"/>
        <v>2220.5267891525345</v>
      </c>
      <c r="T118" s="12" t="str">
        <f t="shared" si="49"/>
        <v/>
      </c>
      <c r="U118" s="12" t="str">
        <f t="shared" si="50"/>
        <v/>
      </c>
      <c r="V118" s="6" t="str">
        <f t="shared" si="56"/>
        <v/>
      </c>
      <c r="W118" s="6" t="str">
        <f t="shared" si="57"/>
        <v/>
      </c>
      <c r="X118" s="6" t="str">
        <f t="shared" si="58"/>
        <v/>
      </c>
      <c r="Y118" s="6" t="str">
        <f t="shared" si="59"/>
        <v/>
      </c>
      <c r="Z118" s="6" t="str">
        <f t="shared" si="60"/>
        <v/>
      </c>
      <c r="AA118" s="6" t="str">
        <f t="shared" si="43"/>
        <v/>
      </c>
      <c r="AB118" s="6" t="str">
        <f t="shared" si="61"/>
        <v/>
      </c>
      <c r="AC118" s="6" t="str">
        <f t="shared" si="62"/>
        <v/>
      </c>
      <c r="AD118" s="6" t="str">
        <f t="shared" si="63"/>
        <v/>
      </c>
      <c r="AE118" s="12" t="str">
        <f t="shared" si="44"/>
        <v/>
      </c>
      <c r="AF118" s="6">
        <f t="shared" si="64"/>
        <v>53.940499999999894</v>
      </c>
      <c r="AG118" s="6">
        <f t="shared" si="65"/>
        <v>53.352499999999893</v>
      </c>
      <c r="AH118" s="12">
        <f t="shared" si="46"/>
        <v>50.412499999999895</v>
      </c>
      <c r="AI118" s="6">
        <f t="shared" si="66"/>
        <v>50.412499999999895</v>
      </c>
      <c r="AJ118" s="12">
        <f>'主翼(型紙出力)'!AE124/100</f>
        <v>5.504587155962852E-2</v>
      </c>
      <c r="AK118" s="12">
        <f>'主翼(型紙出力)'!AG124/100</f>
        <v>0.94495412844037152</v>
      </c>
      <c r="AL118" s="12">
        <f>'主翼(型紙出力)'!D124/1000</f>
        <v>0.57775229357798163</v>
      </c>
      <c r="AM118" s="12">
        <f t="shared" si="67"/>
        <v>14.023461765190504</v>
      </c>
      <c r="AN118" s="6">
        <f t="shared" si="68"/>
        <v>81.02087198741944</v>
      </c>
      <c r="AO118" s="6">
        <f t="shared" si="69"/>
        <v>27.080371987419547</v>
      </c>
      <c r="AP118" s="100">
        <f t="shared" si="70"/>
        <v>-1513.25</v>
      </c>
      <c r="AQ118" s="218">
        <v>22541.581153785832</v>
      </c>
      <c r="AR118" s="100">
        <f t="shared" si="71"/>
        <v>-6.243795777765146</v>
      </c>
      <c r="AS118" s="100">
        <f t="shared" si="72"/>
        <v>-11.014055751977713</v>
      </c>
      <c r="AT118" s="6">
        <f t="shared" si="73"/>
        <v>137.39262212543974</v>
      </c>
      <c r="AU118" s="6" t="str">
        <f t="shared" si="74"/>
        <v/>
      </c>
      <c r="AV118" s="6" t="str">
        <f t="shared" si="75"/>
        <v/>
      </c>
      <c r="AW118" s="6" t="str">
        <f t="shared" si="76"/>
        <v/>
      </c>
      <c r="AX118" s="12">
        <f t="shared" si="77"/>
        <v>264.23964869075746</v>
      </c>
      <c r="AY118" s="6" t="str">
        <f t="shared" si="78"/>
        <v/>
      </c>
      <c r="AZ118" s="6" t="str">
        <f t="shared" si="79"/>
        <v/>
      </c>
      <c r="BA118" s="6" t="str">
        <f t="shared" si="45"/>
        <v/>
      </c>
      <c r="BB118" s="12">
        <f t="shared" si="80"/>
        <v>3.9150176576056947E-5</v>
      </c>
      <c r="BC118" s="6" t="str">
        <f t="shared" si="81"/>
        <v/>
      </c>
      <c r="BD118" s="6" t="str">
        <f t="shared" si="82"/>
        <v/>
      </c>
      <c r="BE118" s="6" t="str">
        <f t="shared" si="83"/>
        <v/>
      </c>
      <c r="BF118" s="12">
        <f t="shared" si="84"/>
        <v>5.8725264864085421E-2</v>
      </c>
      <c r="BG118" s="12">
        <f t="shared" si="85"/>
        <v>5.8725264864085421E-2</v>
      </c>
      <c r="BH118" s="23"/>
      <c r="BI118" s="23"/>
      <c r="BJ118" s="23"/>
    </row>
    <row r="119" spans="1:62">
      <c r="A119" s="22"/>
      <c r="B119" s="6"/>
      <c r="C119" s="158">
        <f>'主翼(型紙出力)'!B125</f>
        <v>74</v>
      </c>
      <c r="D119" s="227">
        <f t="shared" si="51"/>
        <v>3</v>
      </c>
      <c r="E119" s="12">
        <f>'主翼(型紙出力)'!C125</f>
        <v>11.275000000000013</v>
      </c>
      <c r="F119" s="6">
        <f t="shared" si="52"/>
        <v>26.332749999999944</v>
      </c>
      <c r="G119" s="6">
        <f t="shared" si="52"/>
        <v>26.038749999999943</v>
      </c>
      <c r="H119" s="6">
        <f t="shared" si="53"/>
        <v>24.568749999999945</v>
      </c>
      <c r="I119" s="6">
        <f t="shared" si="53"/>
        <v>24.568749999999945</v>
      </c>
      <c r="J119" s="203">
        <v>87444.835546752685</v>
      </c>
      <c r="K119" s="203">
        <v>78694.277769015811</v>
      </c>
      <c r="L119" s="203">
        <v>165401.7001432596</v>
      </c>
      <c r="M119" s="204">
        <v>257.90584260918905</v>
      </c>
      <c r="N119" s="204">
        <v>2023.1838320618631</v>
      </c>
      <c r="O119" s="196">
        <v>159.45549943953483</v>
      </c>
      <c r="P119" s="6">
        <f t="shared" si="47"/>
        <v>44.076332703213602</v>
      </c>
      <c r="Q119" s="12">
        <f t="shared" si="48"/>
        <v>12.462150431909752</v>
      </c>
      <c r="R119" s="96">
        <f t="shared" si="54"/>
        <v>3854.2476647364706</v>
      </c>
      <c r="S119" s="202">
        <f t="shared" si="55"/>
        <v>2061.2608688789301</v>
      </c>
      <c r="T119" s="12" t="str">
        <f t="shared" si="49"/>
        <v/>
      </c>
      <c r="U119" s="12" t="str">
        <f t="shared" si="50"/>
        <v/>
      </c>
      <c r="V119" s="6" t="str">
        <f t="shared" si="56"/>
        <v/>
      </c>
      <c r="W119" s="6" t="str">
        <f t="shared" si="57"/>
        <v/>
      </c>
      <c r="X119" s="6" t="str">
        <f t="shared" si="58"/>
        <v/>
      </c>
      <c r="Y119" s="6" t="str">
        <f t="shared" si="59"/>
        <v/>
      </c>
      <c r="Z119" s="6" t="str">
        <f t="shared" si="60"/>
        <v/>
      </c>
      <c r="AA119" s="6" t="str">
        <f t="shared" ref="AA119:AA126" si="86">IF(Z119="","",Z119/$D$21)</f>
        <v/>
      </c>
      <c r="AB119" s="6" t="str">
        <f t="shared" si="61"/>
        <v/>
      </c>
      <c r="AC119" s="6" t="str">
        <f t="shared" si="62"/>
        <v/>
      </c>
      <c r="AD119" s="6" t="str">
        <f t="shared" si="63"/>
        <v/>
      </c>
      <c r="AE119" s="12" t="str">
        <f t="shared" si="44"/>
        <v/>
      </c>
      <c r="AF119" s="6">
        <f t="shared" si="64"/>
        <v>52.665499999999888</v>
      </c>
      <c r="AG119" s="6">
        <f t="shared" si="65"/>
        <v>52.077499999999887</v>
      </c>
      <c r="AH119" s="12">
        <f t="shared" si="46"/>
        <v>49.137499999999889</v>
      </c>
      <c r="AI119" s="6">
        <f t="shared" si="66"/>
        <v>49.137499999999889</v>
      </c>
      <c r="AJ119" s="12">
        <f>'主翼(型紙出力)'!AE125/100</f>
        <v>1</v>
      </c>
      <c r="AK119" s="12">
        <f>'主翼(型紙出力)'!AG125/100</f>
        <v>0</v>
      </c>
      <c r="AL119" s="12">
        <f>'主翼(型紙出力)'!D125/1000</f>
        <v>0.57499999999999818</v>
      </c>
      <c r="AM119" s="12">
        <f t="shared" si="67"/>
        <v>14.593327618117016</v>
      </c>
      <c r="AN119" s="6">
        <f t="shared" si="68"/>
        <v>83.911633804172581</v>
      </c>
      <c r="AO119" s="6">
        <f t="shared" si="69"/>
        <v>31.246133804172693</v>
      </c>
      <c r="AP119" s="100">
        <f t="shared" si="70"/>
        <v>-1513.25</v>
      </c>
      <c r="AQ119" s="218">
        <v>18780.26887281294</v>
      </c>
      <c r="AR119" s="100">
        <f t="shared" si="71"/>
        <v>-5.4659823536313183</v>
      </c>
      <c r="AS119" s="100">
        <f t="shared" si="72"/>
        <v>-9.6419928718056411</v>
      </c>
      <c r="AT119" s="6">
        <f t="shared" si="73"/>
        <v>156.9436961963462</v>
      </c>
      <c r="AU119" s="6" t="str">
        <f t="shared" si="74"/>
        <v/>
      </c>
      <c r="AV119" s="6" t="str">
        <f t="shared" si="75"/>
        <v/>
      </c>
      <c r="AW119" s="6" t="str">
        <f t="shared" si="76"/>
        <v/>
      </c>
      <c r="AX119" s="12">
        <f t="shared" si="77"/>
        <v>257.76270565666721</v>
      </c>
      <c r="AY119" s="6" t="str">
        <f t="shared" si="78"/>
        <v/>
      </c>
      <c r="AZ119" s="6" t="str">
        <f t="shared" si="79"/>
        <v/>
      </c>
      <c r="BA119" s="6" t="str">
        <f t="shared" si="45"/>
        <v/>
      </c>
      <c r="BB119" s="12">
        <f t="shared" si="80"/>
        <v>3.817863512094346E-5</v>
      </c>
      <c r="BC119" s="6" t="str">
        <f t="shared" si="81"/>
        <v/>
      </c>
      <c r="BD119" s="6" t="str">
        <f t="shared" si="82"/>
        <v/>
      </c>
      <c r="BE119" s="6" t="str">
        <f t="shared" si="83"/>
        <v/>
      </c>
      <c r="BF119" s="12">
        <f t="shared" si="84"/>
        <v>5.7267952681415192E-2</v>
      </c>
      <c r="BG119" s="12">
        <f t="shared" si="85"/>
        <v>5.7267952681415192E-2</v>
      </c>
      <c r="BH119" s="23"/>
      <c r="BI119" s="23"/>
      <c r="BJ119" s="23"/>
    </row>
    <row r="120" spans="1:62">
      <c r="A120" s="22"/>
      <c r="B120" s="6"/>
      <c r="C120" s="100">
        <f>'主翼(型紙出力)'!B126</f>
        <v>75</v>
      </c>
      <c r="D120" s="227">
        <f t="shared" si="51"/>
        <v>3</v>
      </c>
      <c r="E120" s="12">
        <f>'主翼(型紙出力)'!C126</f>
        <v>11.425000000000013</v>
      </c>
      <c r="F120" s="6">
        <f t="shared" si="52"/>
        <v>25.695249999999941</v>
      </c>
      <c r="G120" s="6">
        <f t="shared" si="52"/>
        <v>25.401249999999941</v>
      </c>
      <c r="H120" s="6">
        <f t="shared" si="53"/>
        <v>23.931249999999942</v>
      </c>
      <c r="I120" s="6">
        <f t="shared" si="53"/>
        <v>23.931249999999942</v>
      </c>
      <c r="J120" s="203">
        <v>81034.376462202927</v>
      </c>
      <c r="K120" s="203">
        <v>72898.13717789216</v>
      </c>
      <c r="L120" s="203">
        <v>153247.90736282433</v>
      </c>
      <c r="M120" s="204">
        <v>251.42868968435218</v>
      </c>
      <c r="N120" s="204">
        <v>1922.8112426866385</v>
      </c>
      <c r="O120" s="196">
        <v>155.44986379314312</v>
      </c>
      <c r="P120" s="6">
        <f t="shared" si="47"/>
        <v>43.43124763705103</v>
      </c>
      <c r="Q120" s="12">
        <f t="shared" si="48"/>
        <v>12.462150431909752</v>
      </c>
      <c r="R120" s="96">
        <f t="shared" si="54"/>
        <v>3519.4240712439546</v>
      </c>
      <c r="S120" s="202">
        <f t="shared" si="55"/>
        <v>1909.7984749308869</v>
      </c>
      <c r="T120" s="12" t="str">
        <f t="shared" si="49"/>
        <v/>
      </c>
      <c r="U120" s="12" t="str">
        <f t="shared" si="50"/>
        <v/>
      </c>
      <c r="V120" s="6" t="str">
        <f t="shared" si="56"/>
        <v/>
      </c>
      <c r="W120" s="6" t="str">
        <f t="shared" si="57"/>
        <v/>
      </c>
      <c r="X120" s="6" t="str">
        <f t="shared" si="58"/>
        <v/>
      </c>
      <c r="Y120" s="6" t="str">
        <f t="shared" si="59"/>
        <v/>
      </c>
      <c r="Z120" s="6" t="str">
        <f t="shared" si="60"/>
        <v/>
      </c>
      <c r="AA120" s="6" t="str">
        <f t="shared" si="86"/>
        <v/>
      </c>
      <c r="AB120" s="6" t="str">
        <f t="shared" si="61"/>
        <v/>
      </c>
      <c r="AC120" s="6" t="str">
        <f t="shared" si="62"/>
        <v/>
      </c>
      <c r="AD120" s="6" t="str">
        <f t="shared" si="63"/>
        <v/>
      </c>
      <c r="AE120" s="12" t="str">
        <f t="shared" si="44"/>
        <v/>
      </c>
      <c r="AF120" s="6">
        <f t="shared" si="64"/>
        <v>51.390499999999882</v>
      </c>
      <c r="AG120" s="6">
        <f t="shared" si="65"/>
        <v>50.802499999999881</v>
      </c>
      <c r="AH120" s="12">
        <f t="shared" si="46"/>
        <v>47.862499999999883</v>
      </c>
      <c r="AI120" s="6">
        <f t="shared" si="66"/>
        <v>47.862499999999883</v>
      </c>
      <c r="AJ120" s="12">
        <f>'主翼(型紙出力)'!AE126/100</f>
        <v>1</v>
      </c>
      <c r="AK120" s="12">
        <f>'主翼(型紙出力)'!AG126/100</f>
        <v>0</v>
      </c>
      <c r="AL120" s="12">
        <f>'主翼(型紙出力)'!D126/1000</f>
        <v>0.55083783783783602</v>
      </c>
      <c r="AM120" s="12">
        <f t="shared" si="67"/>
        <v>14.593327618117016</v>
      </c>
      <c r="AN120" s="6">
        <f t="shared" si="68"/>
        <v>80.385570320227544</v>
      </c>
      <c r="AO120" s="6">
        <f t="shared" si="69"/>
        <v>28.995070320227661</v>
      </c>
      <c r="AP120" s="100">
        <f t="shared" si="70"/>
        <v>-1513.25</v>
      </c>
      <c r="AQ120" s="218">
        <v>15424.566564181672</v>
      </c>
      <c r="AR120" s="100">
        <f t="shared" si="71"/>
        <v>-4.7231020093947338</v>
      </c>
      <c r="AS120" s="100">
        <f t="shared" si="72"/>
        <v>-8.3315519445723076</v>
      </c>
      <c r="AT120" s="6">
        <f t="shared" si="73"/>
        <v>181.62882618595751</v>
      </c>
      <c r="AU120" s="6" t="str">
        <f t="shared" si="74"/>
        <v/>
      </c>
      <c r="AV120" s="6" t="str">
        <f t="shared" si="75"/>
        <v/>
      </c>
      <c r="AW120" s="6" t="str">
        <f t="shared" si="76"/>
        <v/>
      </c>
      <c r="AX120" s="12">
        <f t="shared" si="77"/>
        <v>251.28576262257775</v>
      </c>
      <c r="AY120" s="6" t="str">
        <f t="shared" si="78"/>
        <v/>
      </c>
      <c r="AZ120" s="6" t="str">
        <f t="shared" si="79"/>
        <v/>
      </c>
      <c r="BA120" s="6" t="str">
        <f t="shared" si="45"/>
        <v/>
      </c>
      <c r="BB120" s="12">
        <f t="shared" si="80"/>
        <v>3.7207093665830007E-5</v>
      </c>
      <c r="BC120" s="6" t="str">
        <f t="shared" si="81"/>
        <v/>
      </c>
      <c r="BD120" s="6" t="str">
        <f t="shared" si="82"/>
        <v/>
      </c>
      <c r="BE120" s="6" t="str">
        <f t="shared" si="83"/>
        <v/>
      </c>
      <c r="BF120" s="12">
        <f t="shared" si="84"/>
        <v>5.5810640498745012E-2</v>
      </c>
      <c r="BG120" s="12">
        <f t="shared" si="85"/>
        <v>5.5810640498745012E-2</v>
      </c>
      <c r="BH120" s="23"/>
      <c r="BI120" s="23"/>
      <c r="BJ120" s="23"/>
    </row>
    <row r="121" spans="1:62">
      <c r="A121" s="22"/>
      <c r="B121" s="6"/>
      <c r="C121" s="158">
        <f>'主翼(型紙出力)'!B127</f>
        <v>76</v>
      </c>
      <c r="D121" s="227">
        <f t="shared" si="51"/>
        <v>3</v>
      </c>
      <c r="E121" s="12">
        <f>'主翼(型紙出力)'!C127</f>
        <v>11.575000000000014</v>
      </c>
      <c r="F121" s="6">
        <f t="shared" si="52"/>
        <v>25.057749999999938</v>
      </c>
      <c r="G121" s="6">
        <f t="shared" si="52"/>
        <v>24.763749999999938</v>
      </c>
      <c r="H121" s="6">
        <f t="shared" si="53"/>
        <v>23.293749999999939</v>
      </c>
      <c r="I121" s="6">
        <f t="shared" si="53"/>
        <v>23.293749999999939</v>
      </c>
      <c r="J121" s="203">
        <v>74945.12636151677</v>
      </c>
      <c r="K121" s="203">
        <v>67393.826835250162</v>
      </c>
      <c r="L121" s="203">
        <v>141704.5639420331</v>
      </c>
      <c r="M121" s="204">
        <v>244.95153615807902</v>
      </c>
      <c r="N121" s="204">
        <v>1824.9921790901601</v>
      </c>
      <c r="O121" s="196">
        <v>151.44422905841694</v>
      </c>
      <c r="P121" s="6">
        <f t="shared" si="47"/>
        <v>42.786162570888457</v>
      </c>
      <c r="Q121" s="12">
        <f t="shared" si="48"/>
        <v>12.462150431909752</v>
      </c>
      <c r="R121" s="96">
        <f t="shared" si="54"/>
        <v>3206.6143603996343</v>
      </c>
      <c r="S121" s="202">
        <f t="shared" si="55"/>
        <v>1765.9435927337906</v>
      </c>
      <c r="T121" s="12" t="str">
        <f t="shared" si="49"/>
        <v/>
      </c>
      <c r="U121" s="12" t="str">
        <f t="shared" si="50"/>
        <v/>
      </c>
      <c r="V121" s="6" t="str">
        <f t="shared" si="56"/>
        <v/>
      </c>
      <c r="W121" s="6" t="str">
        <f t="shared" si="57"/>
        <v/>
      </c>
      <c r="X121" s="6" t="str">
        <f t="shared" si="58"/>
        <v/>
      </c>
      <c r="Y121" s="6" t="str">
        <f t="shared" si="59"/>
        <v/>
      </c>
      <c r="Z121" s="6" t="str">
        <f t="shared" si="60"/>
        <v/>
      </c>
      <c r="AA121" s="6" t="str">
        <f t="shared" si="86"/>
        <v/>
      </c>
      <c r="AB121" s="6" t="str">
        <f t="shared" si="61"/>
        <v/>
      </c>
      <c r="AC121" s="6" t="str">
        <f t="shared" si="62"/>
        <v/>
      </c>
      <c r="AD121" s="6" t="str">
        <f t="shared" si="63"/>
        <v/>
      </c>
      <c r="AE121" s="12" t="str">
        <f t="shared" si="44"/>
        <v/>
      </c>
      <c r="AF121" s="6">
        <f t="shared" si="64"/>
        <v>50.115499999999876</v>
      </c>
      <c r="AG121" s="6">
        <f t="shared" si="65"/>
        <v>49.527499999999876</v>
      </c>
      <c r="AH121" s="12">
        <f t="shared" si="46"/>
        <v>46.587499999999878</v>
      </c>
      <c r="AI121" s="6">
        <f t="shared" si="66"/>
        <v>46.587499999999878</v>
      </c>
      <c r="AJ121" s="12">
        <f>'主翼(型紙出力)'!AE127/100</f>
        <v>1</v>
      </c>
      <c r="AK121" s="12">
        <f>'主翼(型紙出力)'!AG127/100</f>
        <v>0</v>
      </c>
      <c r="AL121" s="12">
        <f>'主翼(型紙出力)'!D127/1000</f>
        <v>0.52667567567567364</v>
      </c>
      <c r="AM121" s="12">
        <f t="shared" si="67"/>
        <v>14.593327618117016</v>
      </c>
      <c r="AN121" s="6">
        <f t="shared" si="68"/>
        <v>76.859506836282478</v>
      </c>
      <c r="AO121" s="6">
        <f t="shared" si="69"/>
        <v>26.744006836282601</v>
      </c>
      <c r="AP121" s="100">
        <f t="shared" si="70"/>
        <v>-1513.25</v>
      </c>
      <c r="AQ121" s="218">
        <v>12457.695210603424</v>
      </c>
      <c r="AR121" s="100">
        <f t="shared" si="71"/>
        <v>-4.0185951990387663</v>
      </c>
      <c r="AS121" s="100">
        <f t="shared" si="72"/>
        <v>-7.0888019311043813</v>
      </c>
      <c r="AT121" s="6">
        <f t="shared" si="73"/>
        <v>213.47048693237323</v>
      </c>
      <c r="AU121" s="6" t="str">
        <f t="shared" si="74"/>
        <v/>
      </c>
      <c r="AV121" s="6" t="str">
        <f t="shared" si="75"/>
        <v/>
      </c>
      <c r="AW121" s="6" t="str">
        <f t="shared" si="76"/>
        <v/>
      </c>
      <c r="AX121" s="12">
        <f t="shared" si="77"/>
        <v>244.80881958848789</v>
      </c>
      <c r="AY121" s="6" t="str">
        <f t="shared" si="78"/>
        <v/>
      </c>
      <c r="AZ121" s="6" t="str">
        <f t="shared" si="79"/>
        <v/>
      </c>
      <c r="BA121" s="6" t="str">
        <f t="shared" si="45"/>
        <v/>
      </c>
      <c r="BB121" s="12">
        <f t="shared" si="80"/>
        <v>3.6235552210716526E-5</v>
      </c>
      <c r="BC121" s="6" t="str">
        <f t="shared" si="81"/>
        <v/>
      </c>
      <c r="BD121" s="6" t="str">
        <f t="shared" si="82"/>
        <v/>
      </c>
      <c r="BE121" s="6" t="str">
        <f t="shared" si="83"/>
        <v/>
      </c>
      <c r="BF121" s="12">
        <f t="shared" si="84"/>
        <v>5.4353328316074791E-2</v>
      </c>
      <c r="BG121" s="12">
        <f t="shared" si="85"/>
        <v>5.4353328316074791E-2</v>
      </c>
      <c r="BH121" s="23"/>
      <c r="BI121" s="23"/>
      <c r="BJ121" s="23"/>
    </row>
    <row r="122" spans="1:62">
      <c r="A122" s="22"/>
      <c r="B122" s="6"/>
      <c r="C122" s="100">
        <f>'主翼(型紙出力)'!B128</f>
        <v>77</v>
      </c>
      <c r="D122" s="227">
        <f t="shared" si="51"/>
        <v>3</v>
      </c>
      <c r="E122" s="12">
        <f>'主翼(型紙出力)'!C128</f>
        <v>11.725000000000014</v>
      </c>
      <c r="F122" s="6">
        <f t="shared" si="52"/>
        <v>24.420249999999935</v>
      </c>
      <c r="G122" s="6">
        <f t="shared" si="52"/>
        <v>24.126249999999935</v>
      </c>
      <c r="H122" s="6">
        <f t="shared" si="53"/>
        <v>22.656249999999936</v>
      </c>
      <c r="I122" s="6">
        <f t="shared" si="53"/>
        <v>22.656249999999936</v>
      </c>
      <c r="J122" s="203">
        <v>69168.829225429799</v>
      </c>
      <c r="K122" s="203">
        <v>62173.808657494061</v>
      </c>
      <c r="L122" s="203">
        <v>130755.94108866886</v>
      </c>
      <c r="M122" s="204">
        <v>238.47438198498887</v>
      </c>
      <c r="N122" s="204">
        <v>1729.7266412724275</v>
      </c>
      <c r="O122" s="196">
        <v>147.43859530966117</v>
      </c>
      <c r="P122" s="6">
        <f t="shared" si="47"/>
        <v>42.141077504725885</v>
      </c>
      <c r="Q122" s="12">
        <f t="shared" si="48"/>
        <v>12.462150431909752</v>
      </c>
      <c r="R122" s="96">
        <f t="shared" si="54"/>
        <v>2914.848993299986</v>
      </c>
      <c r="S122" s="202">
        <f t="shared" si="55"/>
        <v>1629.5002077129207</v>
      </c>
      <c r="T122" s="12" t="str">
        <f t="shared" si="49"/>
        <v/>
      </c>
      <c r="U122" s="12" t="str">
        <f t="shared" si="50"/>
        <v/>
      </c>
      <c r="V122" s="6" t="str">
        <f t="shared" si="56"/>
        <v/>
      </c>
      <c r="W122" s="6" t="str">
        <f t="shared" si="57"/>
        <v/>
      </c>
      <c r="X122" s="6" t="str">
        <f t="shared" si="58"/>
        <v/>
      </c>
      <c r="Y122" s="6" t="str">
        <f t="shared" si="59"/>
        <v/>
      </c>
      <c r="Z122" s="6" t="str">
        <f t="shared" si="60"/>
        <v/>
      </c>
      <c r="AA122" s="6" t="str">
        <f t="shared" si="86"/>
        <v/>
      </c>
      <c r="AB122" s="6" t="str">
        <f t="shared" si="61"/>
        <v/>
      </c>
      <c r="AC122" s="6" t="str">
        <f t="shared" si="62"/>
        <v/>
      </c>
      <c r="AD122" s="6" t="str">
        <f t="shared" si="63"/>
        <v/>
      </c>
      <c r="AE122" s="12" t="str">
        <f t="shared" si="44"/>
        <v/>
      </c>
      <c r="AF122" s="6">
        <f t="shared" si="64"/>
        <v>48.840499999999871</v>
      </c>
      <c r="AG122" s="6">
        <f t="shared" si="65"/>
        <v>48.25249999999987</v>
      </c>
      <c r="AH122" s="12">
        <f t="shared" si="46"/>
        <v>45.312499999999872</v>
      </c>
      <c r="AI122" s="6">
        <f t="shared" si="66"/>
        <v>45.312499999999872</v>
      </c>
      <c r="AJ122" s="12">
        <f>'主翼(型紙出力)'!AE128/100</f>
        <v>1</v>
      </c>
      <c r="AK122" s="12">
        <f>'主翼(型紙出力)'!AG128/100</f>
        <v>0</v>
      </c>
      <c r="AL122" s="12">
        <f>'主翼(型紙出力)'!D128/1000</f>
        <v>0.50251351351351148</v>
      </c>
      <c r="AM122" s="12">
        <f t="shared" si="67"/>
        <v>14.593327618117016</v>
      </c>
      <c r="AN122" s="6">
        <f t="shared" si="68"/>
        <v>73.333443352337454</v>
      </c>
      <c r="AO122" s="6">
        <f t="shared" si="69"/>
        <v>24.492943352337583</v>
      </c>
      <c r="AP122" s="100">
        <f t="shared" si="70"/>
        <v>-1513.25</v>
      </c>
      <c r="AQ122" s="218">
        <v>9862.0575309299875</v>
      </c>
      <c r="AR122" s="100">
        <f t="shared" si="71"/>
        <v>-3.35607206709909</v>
      </c>
      <c r="AS122" s="100">
        <f t="shared" si="72"/>
        <v>-5.9201111263627926</v>
      </c>
      <c r="AT122" s="6">
        <f t="shared" si="73"/>
        <v>255.61175587758146</v>
      </c>
      <c r="AU122" s="6" t="str">
        <f t="shared" si="74"/>
        <v/>
      </c>
      <c r="AV122" s="6" t="str">
        <f t="shared" si="75"/>
        <v/>
      </c>
      <c r="AW122" s="6" t="str">
        <f t="shared" si="76"/>
        <v/>
      </c>
      <c r="AX122" s="12">
        <f t="shared" si="77"/>
        <v>238.33187655439804</v>
      </c>
      <c r="AY122" s="6" t="str">
        <f t="shared" si="78"/>
        <v/>
      </c>
      <c r="AZ122" s="6" t="str">
        <f t="shared" si="79"/>
        <v/>
      </c>
      <c r="BA122" s="6" t="str">
        <f t="shared" si="45"/>
        <v/>
      </c>
      <c r="BB122" s="12">
        <f t="shared" si="80"/>
        <v>3.5264010755603087E-5</v>
      </c>
      <c r="BC122" s="6" t="str">
        <f t="shared" si="81"/>
        <v/>
      </c>
      <c r="BD122" s="6" t="str">
        <f t="shared" si="82"/>
        <v/>
      </c>
      <c r="BE122" s="6" t="str">
        <f t="shared" si="83"/>
        <v/>
      </c>
      <c r="BF122" s="12">
        <f t="shared" si="84"/>
        <v>5.2896016133404632E-2</v>
      </c>
      <c r="BG122" s="12">
        <f t="shared" si="85"/>
        <v>5.2896016133404632E-2</v>
      </c>
      <c r="BH122" s="23"/>
      <c r="BI122" s="23"/>
      <c r="BJ122" s="23"/>
    </row>
    <row r="123" spans="1:62">
      <c r="A123" s="22"/>
      <c r="B123" s="6"/>
      <c r="C123" s="158">
        <f>'主翼(型紙出力)'!B129</f>
        <v>78</v>
      </c>
      <c r="D123" s="227">
        <f t="shared" si="51"/>
        <v>3</v>
      </c>
      <c r="E123" s="12">
        <f>'主翼(型紙出力)'!C129</f>
        <v>11.875000000000014</v>
      </c>
      <c r="F123" s="6">
        <f t="shared" si="52"/>
        <v>23.78274999999994</v>
      </c>
      <c r="G123" s="6">
        <f t="shared" si="52"/>
        <v>23.488749999999939</v>
      </c>
      <c r="H123" s="6">
        <f t="shared" si="53"/>
        <v>22.01874999999994</v>
      </c>
      <c r="I123" s="6">
        <f t="shared" si="53"/>
        <v>22.01874999999994</v>
      </c>
      <c r="J123" s="203">
        <v>63697.229034673779</v>
      </c>
      <c r="K123" s="203">
        <v>57230.544561022092</v>
      </c>
      <c r="L123" s="203">
        <v>120386.3100105031</v>
      </c>
      <c r="M123" s="204">
        <v>231.99722711502048</v>
      </c>
      <c r="N123" s="204">
        <v>1637.0146292334421</v>
      </c>
      <c r="O123" s="196">
        <v>143.43296262948647</v>
      </c>
      <c r="P123" s="6">
        <f t="shared" si="47"/>
        <v>41.495992438563313</v>
      </c>
      <c r="Q123" s="12">
        <f t="shared" si="48"/>
        <v>12.462150431909752</v>
      </c>
      <c r="R123" s="96">
        <f t="shared" si="54"/>
        <v>2643.1797343802591</v>
      </c>
      <c r="S123" s="202">
        <f t="shared" si="55"/>
        <v>1500.2723052934125</v>
      </c>
      <c r="T123" s="12" t="str">
        <f t="shared" si="49"/>
        <v/>
      </c>
      <c r="U123" s="12" t="str">
        <f t="shared" si="50"/>
        <v/>
      </c>
      <c r="V123" s="6" t="str">
        <f t="shared" si="56"/>
        <v/>
      </c>
      <c r="W123" s="6" t="str">
        <f t="shared" si="57"/>
        <v/>
      </c>
      <c r="X123" s="6" t="str">
        <f t="shared" si="58"/>
        <v/>
      </c>
      <c r="Y123" s="6" t="str">
        <f t="shared" si="59"/>
        <v/>
      </c>
      <c r="Z123" s="6" t="str">
        <f t="shared" si="60"/>
        <v/>
      </c>
      <c r="AA123" s="6" t="str">
        <f t="shared" si="86"/>
        <v/>
      </c>
      <c r="AB123" s="6" t="str">
        <f t="shared" si="61"/>
        <v/>
      </c>
      <c r="AC123" s="6" t="str">
        <f t="shared" si="62"/>
        <v/>
      </c>
      <c r="AD123" s="6" t="str">
        <f t="shared" si="63"/>
        <v/>
      </c>
      <c r="AE123" s="12" t="str">
        <f t="shared" si="44"/>
        <v/>
      </c>
      <c r="AF123" s="6">
        <f t="shared" si="64"/>
        <v>47.565499999999879</v>
      </c>
      <c r="AG123" s="6">
        <f t="shared" si="65"/>
        <v>46.977499999999878</v>
      </c>
      <c r="AH123" s="12">
        <f t="shared" si="46"/>
        <v>44.037499999999881</v>
      </c>
      <c r="AI123" s="6">
        <f t="shared" si="66"/>
        <v>44.037499999999881</v>
      </c>
      <c r="AJ123" s="12">
        <f>'主翼(型紙出力)'!AE129/100</f>
        <v>1</v>
      </c>
      <c r="AK123" s="12">
        <f>'主翼(型紙出力)'!AG129/100</f>
        <v>0</v>
      </c>
      <c r="AL123" s="12">
        <f>'主翼(型紙出力)'!D129/1000</f>
        <v>0.47835135135134932</v>
      </c>
      <c r="AM123" s="12">
        <f t="shared" si="67"/>
        <v>14.593327618117016</v>
      </c>
      <c r="AN123" s="6">
        <f t="shared" si="68"/>
        <v>69.807379868392431</v>
      </c>
      <c r="AO123" s="6">
        <f t="shared" si="69"/>
        <v>22.241879868392552</v>
      </c>
      <c r="AP123" s="100">
        <f t="shared" si="70"/>
        <v>-1513.25</v>
      </c>
      <c r="AQ123" s="218">
        <v>7619.1430967610331</v>
      </c>
      <c r="AR123" s="100">
        <f t="shared" si="71"/>
        <v>-2.7392728681834626</v>
      </c>
      <c r="AS123" s="100">
        <f t="shared" si="72"/>
        <v>-4.8320773394756262</v>
      </c>
      <c r="AT123" s="6">
        <f t="shared" si="73"/>
        <v>313.16758687563078</v>
      </c>
      <c r="AU123" s="6" t="str">
        <f t="shared" si="74"/>
        <v/>
      </c>
      <c r="AV123" s="6" t="str">
        <f t="shared" si="75"/>
        <v/>
      </c>
      <c r="AW123" s="6" t="str">
        <f t="shared" si="76"/>
        <v/>
      </c>
      <c r="AX123" s="12">
        <f t="shared" si="77"/>
        <v>231.85493352030872</v>
      </c>
      <c r="AY123" s="6" t="str">
        <f t="shared" si="78"/>
        <v/>
      </c>
      <c r="AZ123" s="6" t="str">
        <f t="shared" si="79"/>
        <v/>
      </c>
      <c r="BA123" s="6" t="str">
        <f t="shared" si="45"/>
        <v/>
      </c>
      <c r="BB123" s="12">
        <f t="shared" si="80"/>
        <v>3.4292469300489647E-5</v>
      </c>
      <c r="BC123" s="6" t="str">
        <f t="shared" si="81"/>
        <v/>
      </c>
      <c r="BD123" s="6" t="str">
        <f t="shared" si="82"/>
        <v/>
      </c>
      <c r="BE123" s="6" t="str">
        <f t="shared" si="83"/>
        <v/>
      </c>
      <c r="BF123" s="12">
        <f t="shared" si="84"/>
        <v>5.1438703950734473E-2</v>
      </c>
      <c r="BG123" s="12">
        <f t="shared" si="85"/>
        <v>5.1438703950734473E-2</v>
      </c>
      <c r="BH123" s="23"/>
      <c r="BI123" s="23"/>
      <c r="BJ123" s="23"/>
    </row>
    <row r="124" spans="1:62">
      <c r="A124" s="22"/>
      <c r="B124" s="6"/>
      <c r="C124" s="100">
        <f>'主翼(型紙出力)'!B130</f>
        <v>79</v>
      </c>
      <c r="D124" s="227">
        <f t="shared" si="51"/>
        <v>3</v>
      </c>
      <c r="E124" s="12">
        <f>'主翼(型紙出力)'!C130</f>
        <v>12.025000000000015</v>
      </c>
      <c r="F124" s="6">
        <f t="shared" si="52"/>
        <v>23.145249999999937</v>
      </c>
      <c r="G124" s="6">
        <f t="shared" si="52"/>
        <v>22.851249999999936</v>
      </c>
      <c r="H124" s="6">
        <f t="shared" si="53"/>
        <v>21.381249999999937</v>
      </c>
      <c r="I124" s="6">
        <f t="shared" si="53"/>
        <v>21.381249999999937</v>
      </c>
      <c r="J124" s="203">
        <v>58522.069769977003</v>
      </c>
      <c r="K124" s="203">
        <v>52556.496462230891</v>
      </c>
      <c r="L124" s="203">
        <v>110579.9419153044</v>
      </c>
      <c r="M124" s="204">
        <v>225.5200714928437</v>
      </c>
      <c r="N124" s="204">
        <v>1546.8561429732013</v>
      </c>
      <c r="O124" s="196">
        <v>139.42733110999242</v>
      </c>
      <c r="P124" s="6">
        <f t="shared" si="47"/>
        <v>40.850907372400748</v>
      </c>
      <c r="Q124" s="12">
        <f t="shared" si="48"/>
        <v>12.462150431909752</v>
      </c>
      <c r="R124" s="96">
        <f t="shared" si="54"/>
        <v>2390.6796514145044</v>
      </c>
      <c r="S124" s="202">
        <f t="shared" si="55"/>
        <v>1378.0638709003661</v>
      </c>
      <c r="T124" s="12" t="str">
        <f t="shared" si="49"/>
        <v/>
      </c>
      <c r="U124" s="12" t="str">
        <f t="shared" si="50"/>
        <v/>
      </c>
      <c r="V124" s="6" t="str">
        <f t="shared" si="56"/>
        <v/>
      </c>
      <c r="W124" s="6" t="str">
        <f t="shared" si="57"/>
        <v/>
      </c>
      <c r="X124" s="6" t="str">
        <f t="shared" si="58"/>
        <v/>
      </c>
      <c r="Y124" s="6" t="str">
        <f t="shared" si="59"/>
        <v/>
      </c>
      <c r="Z124" s="6" t="str">
        <f t="shared" si="60"/>
        <v/>
      </c>
      <c r="AA124" s="6" t="str">
        <f t="shared" si="86"/>
        <v/>
      </c>
      <c r="AB124" s="6" t="str">
        <f t="shared" si="61"/>
        <v/>
      </c>
      <c r="AC124" s="6" t="str">
        <f t="shared" si="62"/>
        <v/>
      </c>
      <c r="AD124" s="6" t="str">
        <f t="shared" si="63"/>
        <v/>
      </c>
      <c r="AE124" s="12" t="str">
        <f t="shared" si="44"/>
        <v/>
      </c>
      <c r="AF124" s="6">
        <f t="shared" si="64"/>
        <v>46.290499999999874</v>
      </c>
      <c r="AG124" s="6">
        <f t="shared" si="65"/>
        <v>45.702499999999873</v>
      </c>
      <c r="AH124" s="12">
        <f t="shared" si="46"/>
        <v>42.762499999999875</v>
      </c>
      <c r="AI124" s="6">
        <f t="shared" si="66"/>
        <v>42.762499999999875</v>
      </c>
      <c r="AJ124" s="12">
        <f>'主翼(型紙出力)'!AE130/100</f>
        <v>1</v>
      </c>
      <c r="AK124" s="12">
        <f>'主翼(型紙出力)'!AG130/100</f>
        <v>0</v>
      </c>
      <c r="AL124" s="12">
        <f>'主翼(型紙出力)'!D130/1000</f>
        <v>0.45418918918918694</v>
      </c>
      <c r="AM124" s="12">
        <f t="shared" si="67"/>
        <v>14.593327618117016</v>
      </c>
      <c r="AN124" s="6">
        <f t="shared" si="68"/>
        <v>66.281316384447365</v>
      </c>
      <c r="AO124" s="6">
        <f t="shared" si="69"/>
        <v>19.990816384447491</v>
      </c>
      <c r="AP124" s="100">
        <f t="shared" si="70"/>
        <v>-1513.25</v>
      </c>
      <c r="AQ124" s="218">
        <v>5705.4350357943213</v>
      </c>
      <c r="AR124" s="100">
        <f t="shared" si="71"/>
        <v>-2.1704893053152428</v>
      </c>
      <c r="AS124" s="100">
        <f t="shared" si="72"/>
        <v>-3.8287431345760869</v>
      </c>
      <c r="AT124" s="6">
        <f t="shared" si="73"/>
        <v>395.23413998038939</v>
      </c>
      <c r="AU124" s="6" t="str">
        <f t="shared" si="74"/>
        <v/>
      </c>
      <c r="AV124" s="6" t="str">
        <f t="shared" si="75"/>
        <v/>
      </c>
      <c r="AW124" s="6" t="str">
        <f t="shared" si="76"/>
        <v/>
      </c>
      <c r="AX124" s="12">
        <f t="shared" si="77"/>
        <v>225.37799048621886</v>
      </c>
      <c r="AY124" s="6" t="str">
        <f t="shared" si="78"/>
        <v/>
      </c>
      <c r="AZ124" s="6" t="str">
        <f t="shared" si="79"/>
        <v/>
      </c>
      <c r="BA124" s="6" t="str">
        <f t="shared" si="45"/>
        <v/>
      </c>
      <c r="BB124" s="12">
        <f t="shared" si="80"/>
        <v>3.8779960400358453E-5</v>
      </c>
      <c r="BC124" s="6" t="str">
        <f t="shared" si="81"/>
        <v/>
      </c>
      <c r="BD124" s="6" t="str">
        <f t="shared" si="82"/>
        <v/>
      </c>
      <c r="BE124" s="6" t="str">
        <f t="shared" si="83"/>
        <v/>
      </c>
      <c r="BF124" s="12">
        <f t="shared" si="84"/>
        <v>5.8169940600537678E-2</v>
      </c>
      <c r="BG124" s="12">
        <f t="shared" si="85"/>
        <v>5.8169940600537678E-2</v>
      </c>
      <c r="BH124" s="23"/>
      <c r="BI124" s="23"/>
      <c r="BJ124" s="23"/>
    </row>
    <row r="125" spans="1:62">
      <c r="A125" s="22"/>
      <c r="B125" s="6"/>
      <c r="C125" s="158">
        <f>'主翼(型紙出力)'!B131</f>
        <v>80</v>
      </c>
      <c r="D125" s="227">
        <f t="shared" si="51"/>
        <v>3</v>
      </c>
      <c r="E125" s="12">
        <f>'主翼(型紙出力)'!C131</f>
        <v>12.200000000000015</v>
      </c>
      <c r="F125" s="6">
        <f t="shared" si="52"/>
        <v>22.401499999999931</v>
      </c>
      <c r="G125" s="6">
        <f t="shared" si="52"/>
        <v>22.107499999999931</v>
      </c>
      <c r="H125" s="6">
        <f t="shared" si="53"/>
        <v>20.637499999999932</v>
      </c>
      <c r="I125" s="6">
        <f t="shared" si="53"/>
        <v>20.637499999999932</v>
      </c>
      <c r="J125" s="203">
        <v>52848.037957735767</v>
      </c>
      <c r="K125" s="203">
        <v>47433.64286058303</v>
      </c>
      <c r="L125" s="203">
        <v>99830.097103866545</v>
      </c>
      <c r="M125" s="204">
        <v>217.96338890074043</v>
      </c>
      <c r="N125" s="204">
        <v>1444.8986151955021</v>
      </c>
      <c r="O125" s="196">
        <v>134.75409594231593</v>
      </c>
      <c r="P125" s="6">
        <f t="shared" si="47"/>
        <v>40.205822306238169</v>
      </c>
      <c r="Q125" s="12">
        <f t="shared" si="48"/>
        <v>12.462150431909752</v>
      </c>
      <c r="R125" s="96">
        <f t="shared" si="54"/>
        <v>2124.798823362054</v>
      </c>
      <c r="S125" s="202">
        <f t="shared" si="55"/>
        <v>1244.0976877405431</v>
      </c>
      <c r="T125" s="12" t="str">
        <f t="shared" si="49"/>
        <v/>
      </c>
      <c r="U125" s="12" t="str">
        <f t="shared" si="50"/>
        <v/>
      </c>
      <c r="V125" s="6" t="str">
        <f t="shared" si="56"/>
        <v/>
      </c>
      <c r="W125" s="6" t="str">
        <f t="shared" si="57"/>
        <v/>
      </c>
      <c r="X125" s="6" t="str">
        <f t="shared" si="58"/>
        <v/>
      </c>
      <c r="Y125" s="6" t="str">
        <f t="shared" si="59"/>
        <v/>
      </c>
      <c r="Z125" s="6" t="str">
        <f t="shared" si="60"/>
        <v/>
      </c>
      <c r="AA125" s="6" t="str">
        <f t="shared" si="86"/>
        <v/>
      </c>
      <c r="AB125" s="6" t="str">
        <f t="shared" si="61"/>
        <v/>
      </c>
      <c r="AC125" s="6" t="str">
        <f t="shared" si="62"/>
        <v/>
      </c>
      <c r="AD125" s="6" t="str">
        <f t="shared" si="63"/>
        <v/>
      </c>
      <c r="AE125" s="12" t="str">
        <f t="shared" si="44"/>
        <v/>
      </c>
      <c r="AF125" s="6">
        <f t="shared" si="64"/>
        <v>44.802999999999862</v>
      </c>
      <c r="AG125" s="6">
        <f t="shared" si="65"/>
        <v>44.214999999999861</v>
      </c>
      <c r="AH125" s="12">
        <f t="shared" si="46"/>
        <v>41.274999999999864</v>
      </c>
      <c r="AI125" s="6">
        <f t="shared" si="66"/>
        <v>41.274999999999864</v>
      </c>
      <c r="AJ125" s="12">
        <f>'主翼(型紙出力)'!AE131/100</f>
        <v>1</v>
      </c>
      <c r="AK125" s="12">
        <f>'主翼(型紙出力)'!AG131/100</f>
        <v>0</v>
      </c>
      <c r="AL125" s="12">
        <f>'主翼(型紙出力)'!D131/1000</f>
        <v>0.42599999999999527</v>
      </c>
      <c r="AM125" s="12">
        <f t="shared" si="67"/>
        <v>14.593327618117016</v>
      </c>
      <c r="AN125" s="6">
        <f t="shared" si="68"/>
        <v>62.167575653177799</v>
      </c>
      <c r="AO125" s="6">
        <f t="shared" si="69"/>
        <v>17.364575653177937</v>
      </c>
      <c r="AP125" s="100">
        <f t="shared" si="70"/>
        <v>-1513.25</v>
      </c>
      <c r="AQ125" s="218">
        <v>3858.8289493346319</v>
      </c>
      <c r="AR125" s="100">
        <f t="shared" si="71"/>
        <v>-1.5712990071952357</v>
      </c>
      <c r="AS125" s="100">
        <f t="shared" si="72"/>
        <v>-2.771771448692395</v>
      </c>
      <c r="AT125" s="6">
        <f t="shared" si="73"/>
        <v>545.95049700576419</v>
      </c>
      <c r="AU125" s="6" t="str">
        <f t="shared" si="74"/>
        <v/>
      </c>
      <c r="AV125" s="6" t="str">
        <f t="shared" si="75"/>
        <v/>
      </c>
      <c r="AW125" s="6" t="str">
        <f t="shared" si="76"/>
        <v/>
      </c>
      <c r="AX125" s="12">
        <f t="shared" si="77"/>
        <v>217.82155694644737</v>
      </c>
      <c r="AY125" s="6" t="str">
        <f t="shared" si="78"/>
        <v/>
      </c>
      <c r="AZ125" s="6" t="str">
        <f t="shared" si="79"/>
        <v/>
      </c>
      <c r="BA125" s="6" t="str">
        <f t="shared" si="45"/>
        <v/>
      </c>
      <c r="BB125" s="12">
        <f t="shared" si="80"/>
        <v>3.2187462814410441E-5</v>
      </c>
      <c r="BC125" s="6" t="str">
        <f t="shared" si="81"/>
        <v/>
      </c>
      <c r="BD125" s="6" t="str">
        <f t="shared" si="82"/>
        <v/>
      </c>
      <c r="BE125" s="6" t="str">
        <f t="shared" si="83"/>
        <v/>
      </c>
      <c r="BF125" s="12">
        <f t="shared" si="84"/>
        <v>4.8281194221615663E-2</v>
      </c>
      <c r="BG125" s="12">
        <f t="shared" si="85"/>
        <v>4.8281194221615663E-2</v>
      </c>
      <c r="BH125" s="23"/>
      <c r="BI125" s="23"/>
      <c r="BJ125" s="23"/>
    </row>
    <row r="126" spans="1:62">
      <c r="A126" s="22"/>
      <c r="B126" s="6"/>
      <c r="C126" s="100">
        <f>'主翼(型紙出力)'!B132</f>
        <v>81</v>
      </c>
      <c r="D126" s="227">
        <f t="shared" si="51"/>
        <v>3</v>
      </c>
      <c r="E126" s="12">
        <f>'主翼(型紙出力)'!C132</f>
        <v>12.350000000000016</v>
      </c>
      <c r="F126" s="6">
        <f t="shared" si="52"/>
        <v>21.763999999999928</v>
      </c>
      <c r="G126" s="6">
        <f t="shared" si="52"/>
        <v>21.469999999999928</v>
      </c>
      <c r="H126" s="6">
        <f t="shared" si="53"/>
        <v>19.999999999999929</v>
      </c>
      <c r="I126" s="6">
        <f t="shared" si="53"/>
        <v>19.999999999999929</v>
      </c>
      <c r="J126" s="203">
        <v>48286.844633366782</v>
      </c>
      <c r="K126" s="203">
        <v>43317.0362754823</v>
      </c>
      <c r="L126" s="203">
        <v>91190.173642813563</v>
      </c>
      <c r="M126" s="204">
        <v>211.48623142923913</v>
      </c>
      <c r="N126" s="204">
        <v>1360.2727681225444</v>
      </c>
      <c r="O126" s="196">
        <v>130.74846730784307</v>
      </c>
      <c r="P126" s="6">
        <f t="shared" si="47"/>
        <v>39.560737240075596</v>
      </c>
      <c r="Q126" s="12">
        <f t="shared" si="48"/>
        <v>12.462150431909752</v>
      </c>
      <c r="R126" s="96">
        <f t="shared" si="54"/>
        <v>1910.2631726929776</v>
      </c>
      <c r="S126" s="202">
        <f t="shared" si="55"/>
        <v>1136.4256618487143</v>
      </c>
      <c r="T126" s="12" t="str">
        <f t="shared" si="49"/>
        <v/>
      </c>
      <c r="U126" s="12" t="str">
        <f t="shared" si="50"/>
        <v/>
      </c>
      <c r="V126" s="6" t="str">
        <f t="shared" si="56"/>
        <v/>
      </c>
      <c r="W126" s="6" t="str">
        <f t="shared" si="57"/>
        <v/>
      </c>
      <c r="X126" s="6" t="str">
        <f t="shared" si="58"/>
        <v/>
      </c>
      <c r="Y126" s="6" t="str">
        <f t="shared" si="59"/>
        <v/>
      </c>
      <c r="Z126" s="6" t="str">
        <f t="shared" si="60"/>
        <v/>
      </c>
      <c r="AA126" s="6" t="str">
        <f t="shared" si="86"/>
        <v/>
      </c>
      <c r="AB126" s="6" t="str">
        <f t="shared" si="61"/>
        <v/>
      </c>
      <c r="AC126" s="6" t="str">
        <f t="shared" si="62"/>
        <v/>
      </c>
      <c r="AD126" s="6" t="str">
        <f t="shared" si="63"/>
        <v/>
      </c>
      <c r="AE126" s="12" t="str">
        <f t="shared" si="44"/>
        <v/>
      </c>
      <c r="AF126" s="6">
        <f t="shared" si="64"/>
        <v>43.527999999999857</v>
      </c>
      <c r="AG126" s="6">
        <f t="shared" si="65"/>
        <v>42.939999999999856</v>
      </c>
      <c r="AH126" s="12">
        <f t="shared" si="46"/>
        <v>39.999999999999858</v>
      </c>
      <c r="AI126" s="6">
        <f t="shared" si="66"/>
        <v>39.999999999999858</v>
      </c>
      <c r="AJ126" s="12">
        <f>'主翼(型紙出力)'!AE132/100</f>
        <v>1</v>
      </c>
      <c r="AK126" s="12">
        <f>'主翼(型紙出力)'!AG132/100</f>
        <v>0</v>
      </c>
      <c r="AL126" s="12">
        <f>'主翼(型紙出力)'!D132/1000</f>
        <v>0.38657142857142412</v>
      </c>
      <c r="AM126" s="12">
        <f t="shared" si="67"/>
        <v>14.593327618117016</v>
      </c>
      <c r="AN126" s="6">
        <f t="shared" si="68"/>
        <v>56.413635049463132</v>
      </c>
      <c r="AO126" s="6">
        <f t="shared" si="69"/>
        <v>12.885635049463275</v>
      </c>
      <c r="AP126" s="100">
        <f t="shared" si="70"/>
        <v>-1513.25</v>
      </c>
      <c r="AQ126" s="218">
        <v>2593.4422092675673</v>
      </c>
      <c r="AR126" s="100">
        <f t="shared" si="71"/>
        <v>-1.1215530984706863</v>
      </c>
      <c r="AS126" s="100">
        <f t="shared" si="72"/>
        <v>-1.9784196657022899</v>
      </c>
      <c r="AT126" s="6">
        <f t="shared" si="73"/>
        <v>764.87816322975834</v>
      </c>
      <c r="AU126" s="6" t="str">
        <f t="shared" si="74"/>
        <v/>
      </c>
      <c r="AV126" s="6" t="str">
        <f t="shared" si="75"/>
        <v/>
      </c>
      <c r="AW126" s="6" t="str">
        <f t="shared" si="76"/>
        <v/>
      </c>
      <c r="AX126" s="12">
        <f t="shared" si="77"/>
        <v>211.34461391235752</v>
      </c>
      <c r="AY126" s="6" t="str">
        <f t="shared" si="78"/>
        <v/>
      </c>
      <c r="AZ126" s="6" t="str">
        <f t="shared" si="79"/>
        <v/>
      </c>
      <c r="BA126" s="6" t="str">
        <f t="shared" si="45"/>
        <v/>
      </c>
      <c r="BB126" s="12" t="str">
        <f t="shared" si="80"/>
        <v/>
      </c>
      <c r="BC126" s="6" t="str">
        <f t="shared" si="81"/>
        <v/>
      </c>
      <c r="BD126" s="6" t="str">
        <f t="shared" si="82"/>
        <v/>
      </c>
      <c r="BE126" s="6" t="str">
        <f t="shared" si="83"/>
        <v/>
      </c>
      <c r="BF126" s="12" t="str">
        <f t="shared" si="84"/>
        <v/>
      </c>
      <c r="BG126" s="12">
        <f t="shared" si="85"/>
        <v>0</v>
      </c>
      <c r="BH126" s="23"/>
      <c r="BI126" s="23"/>
      <c r="BJ126" s="23"/>
    </row>
    <row r="127" spans="1:62">
      <c r="A127" s="22"/>
      <c r="B127" s="6"/>
      <c r="C127" s="158">
        <f>'主翼(型紙出力)'!B133</f>
        <v>82</v>
      </c>
      <c r="D127" s="227">
        <f t="shared" si="51"/>
        <v>3</v>
      </c>
      <c r="E127" s="12">
        <f>'主翼(型紙出力)'!C133</f>
        <v>12.500000000000016</v>
      </c>
      <c r="F127" s="6">
        <f t="shared" si="52"/>
        <v>21.126499999999925</v>
      </c>
      <c r="G127" s="6">
        <f t="shared" si="52"/>
        <v>20.832499999999925</v>
      </c>
      <c r="H127" s="6">
        <f t="shared" si="53"/>
        <v>19.362499999999926</v>
      </c>
      <c r="I127" s="6">
        <f t="shared" si="53"/>
        <v>19.362499999999926</v>
      </c>
      <c r="J127" s="203">
        <v>43995.948173997996</v>
      </c>
      <c r="K127" s="203">
        <v>39445.775089941031</v>
      </c>
      <c r="L127" s="203">
        <v>83063.705322595531</v>
      </c>
      <c r="M127" s="204">
        <v>205.00907298662804</v>
      </c>
      <c r="N127" s="204">
        <v>1278.2004468283326</v>
      </c>
      <c r="O127" s="196">
        <v>126.74284020595442</v>
      </c>
      <c r="P127" s="6">
        <f t="shared" si="47"/>
        <v>38.915652173913017</v>
      </c>
      <c r="Q127" s="12">
        <f t="shared" si="48"/>
        <v>12.462150431909752</v>
      </c>
      <c r="R127" s="96">
        <f t="shared" si="54"/>
        <v>1712.1310162008094</v>
      </c>
      <c r="S127" s="202">
        <f t="shared" si="55"/>
        <v>1035.1523911620081</v>
      </c>
      <c r="T127" s="12" t="str">
        <f t="shared" si="49"/>
        <v/>
      </c>
      <c r="U127" s="12" t="str">
        <f t="shared" si="50"/>
        <v/>
      </c>
      <c r="V127" s="6" t="str">
        <f t="shared" si="56"/>
        <v/>
      </c>
      <c r="W127" s="6" t="str">
        <f t="shared" si="57"/>
        <v/>
      </c>
      <c r="X127" s="6" t="str">
        <f t="shared" si="58"/>
        <v/>
      </c>
      <c r="Y127" s="6" t="str">
        <f t="shared" si="59"/>
        <v/>
      </c>
      <c r="Z127" s="6" t="str">
        <f t="shared" si="60"/>
        <v/>
      </c>
      <c r="AA127" s="6" t="str">
        <f t="shared" ref="AA127:AA132" si="87">IF(Z127="","",Z127*$D$21)</f>
        <v/>
      </c>
      <c r="AB127" s="6" t="str">
        <f t="shared" si="61"/>
        <v/>
      </c>
      <c r="AC127" s="6" t="str">
        <f t="shared" si="62"/>
        <v/>
      </c>
      <c r="AD127" s="6" t="str">
        <f t="shared" si="63"/>
        <v/>
      </c>
      <c r="AE127" s="12" t="str">
        <f t="shared" si="44"/>
        <v/>
      </c>
      <c r="AF127" s="6">
        <f t="shared" si="64"/>
        <v>42.252999999999851</v>
      </c>
      <c r="AG127" s="6">
        <f t="shared" si="65"/>
        <v>41.66499999999985</v>
      </c>
      <c r="AH127" s="12">
        <f t="shared" ref="AH127:AH132" si="88">IF(E127&lt;$M$12,"",IF(E127&lt;$M$13,$AJ$12*E127+$AK$12,IF(E127&lt;=$M$15,$AJ$13*E127+$AK$13,"")))</f>
        <v>38.724999999999852</v>
      </c>
      <c r="AI127" s="6">
        <f t="shared" si="66"/>
        <v>38.724999999999852</v>
      </c>
      <c r="AJ127" s="12">
        <f>'主翼(型紙出力)'!AE133/100</f>
        <v>1</v>
      </c>
      <c r="AK127" s="12">
        <f>'主翼(型紙出力)'!AG133/100</f>
        <v>0</v>
      </c>
      <c r="AL127" s="12">
        <f>'主翼(型紙出力)'!D133/1000</f>
        <v>0.34714285714285259</v>
      </c>
      <c r="AM127" s="12">
        <f t="shared" si="67"/>
        <v>14.593327618117016</v>
      </c>
      <c r="AN127" s="6">
        <f t="shared" si="68"/>
        <v>50.659694445748407</v>
      </c>
      <c r="AO127" s="6">
        <f t="shared" si="69"/>
        <v>8.4066944457485562</v>
      </c>
      <c r="AP127" s="100">
        <f t="shared" si="70"/>
        <v>-1513.25</v>
      </c>
      <c r="AQ127" s="218">
        <v>1620.0505495899672</v>
      </c>
      <c r="AR127" s="100">
        <f t="shared" si="71"/>
        <v>-0.74545758671834605</v>
      </c>
      <c r="AS127" s="100">
        <f t="shared" si="72"/>
        <v>-1.3149871829711619</v>
      </c>
      <c r="AT127" s="6">
        <f t="shared" si="73"/>
        <v>1150.7716726035846</v>
      </c>
      <c r="AU127" s="6" t="str">
        <f t="shared" si="74"/>
        <v/>
      </c>
      <c r="AV127" s="6" t="str">
        <f t="shared" si="75"/>
        <v/>
      </c>
      <c r="AW127" s="6" t="str">
        <f t="shared" si="76"/>
        <v/>
      </c>
      <c r="AX127" s="12">
        <f t="shared" si="77"/>
        <v>204.86767087826786</v>
      </c>
      <c r="AY127" s="6" t="str">
        <f t="shared" si="78"/>
        <v/>
      </c>
      <c r="AZ127" s="6" t="str">
        <f t="shared" si="79"/>
        <v/>
      </c>
      <c r="BA127" s="6" t="str">
        <f t="shared" si="45"/>
        <v/>
      </c>
      <c r="BB127" s="12" t="str">
        <f t="shared" si="80"/>
        <v/>
      </c>
      <c r="BC127" s="6" t="str">
        <f t="shared" si="81"/>
        <v/>
      </c>
      <c r="BD127" s="6" t="str">
        <f t="shared" si="82"/>
        <v/>
      </c>
      <c r="BE127" s="6" t="str">
        <f t="shared" si="83"/>
        <v/>
      </c>
      <c r="BF127" s="12" t="str">
        <f t="shared" si="84"/>
        <v/>
      </c>
      <c r="BG127" s="12">
        <f t="shared" si="85"/>
        <v>0</v>
      </c>
      <c r="BH127" s="23"/>
      <c r="BI127" s="23"/>
      <c r="BJ127" s="23"/>
    </row>
    <row r="128" spans="1:62">
      <c r="A128" s="22"/>
      <c r="B128" s="6"/>
      <c r="C128" s="100">
        <f>'主翼(型紙出力)'!B134</f>
        <v>83</v>
      </c>
      <c r="D128" s="227">
        <f t="shared" si="51"/>
        <v>3</v>
      </c>
      <c r="E128" s="12">
        <f>'主翼(型紙出力)'!C134</f>
        <v>12.650000000000016</v>
      </c>
      <c r="F128" s="6">
        <f t="shared" si="52"/>
        <v>20.48899999999993</v>
      </c>
      <c r="G128" s="6">
        <f t="shared" si="52"/>
        <v>20.194999999999929</v>
      </c>
      <c r="H128" s="6">
        <f t="shared" si="53"/>
        <v>18.72499999999993</v>
      </c>
      <c r="I128" s="6">
        <f t="shared" si="53"/>
        <v>18.72499999999993</v>
      </c>
      <c r="J128" s="203">
        <v>39967.092560334524</v>
      </c>
      <c r="K128" s="203">
        <v>35812.321220326827</v>
      </c>
      <c r="L128" s="203">
        <v>75434.963350933409</v>
      </c>
      <c r="M128" s="204">
        <v>198.5319134864269</v>
      </c>
      <c r="N128" s="204">
        <v>1198.6816513128679</v>
      </c>
      <c r="O128" s="196">
        <v>122.7372147867119</v>
      </c>
      <c r="P128" s="6">
        <f t="shared" si="47"/>
        <v>38.270567107750452</v>
      </c>
      <c r="Q128" s="12">
        <f t="shared" si="48"/>
        <v>12.462150431909752</v>
      </c>
      <c r="R128" s="96">
        <f t="shared" si="54"/>
        <v>1529.5632979319562</v>
      </c>
      <c r="S128" s="202">
        <f t="shared" si="55"/>
        <v>940.08186110493114</v>
      </c>
      <c r="T128" s="12" t="str">
        <f t="shared" si="49"/>
        <v/>
      </c>
      <c r="U128" s="12" t="str">
        <f t="shared" si="50"/>
        <v/>
      </c>
      <c r="V128" s="6" t="str">
        <f t="shared" si="56"/>
        <v/>
      </c>
      <c r="W128" s="6" t="str">
        <f t="shared" si="57"/>
        <v/>
      </c>
      <c r="X128" s="6" t="str">
        <f t="shared" si="58"/>
        <v/>
      </c>
      <c r="Y128" s="6" t="str">
        <f t="shared" si="59"/>
        <v/>
      </c>
      <c r="Z128" s="6" t="str">
        <f t="shared" si="60"/>
        <v/>
      </c>
      <c r="AA128" s="6" t="str">
        <f t="shared" si="87"/>
        <v/>
      </c>
      <c r="AB128" s="6" t="str">
        <f t="shared" si="61"/>
        <v/>
      </c>
      <c r="AC128" s="6" t="str">
        <f t="shared" si="62"/>
        <v/>
      </c>
      <c r="AD128" s="6" t="str">
        <f t="shared" si="63"/>
        <v/>
      </c>
      <c r="AE128" s="12" t="str">
        <f t="shared" si="44"/>
        <v/>
      </c>
      <c r="AF128" s="6">
        <f t="shared" si="64"/>
        <v>40.977999999999859</v>
      </c>
      <c r="AG128" s="6">
        <f t="shared" si="65"/>
        <v>40.389999999999858</v>
      </c>
      <c r="AH128" s="12">
        <f t="shared" si="88"/>
        <v>37.449999999999861</v>
      </c>
      <c r="AI128" s="6">
        <f t="shared" si="66"/>
        <v>37.449999999999861</v>
      </c>
      <c r="AJ128" s="12">
        <f>'主翼(型紙出力)'!AE134/100</f>
        <v>1</v>
      </c>
      <c r="AK128" s="12">
        <f>'主翼(型紙出力)'!AG134/100</f>
        <v>0</v>
      </c>
      <c r="AL128" s="12">
        <f>'主翼(型紙出力)'!D134/1000</f>
        <v>0.30771428571428094</v>
      </c>
      <c r="AM128" s="12">
        <f t="shared" si="67"/>
        <v>14.593327618117016</v>
      </c>
      <c r="AN128" s="6">
        <f t="shared" si="68"/>
        <v>44.905753842033661</v>
      </c>
      <c r="AO128" s="6">
        <f t="shared" si="69"/>
        <v>3.9277538420338018</v>
      </c>
      <c r="AP128" s="100">
        <f t="shared" si="70"/>
        <v>-1513.25</v>
      </c>
      <c r="AQ128" s="218">
        <v>922.62645913291078</v>
      </c>
      <c r="AR128" s="100">
        <f t="shared" si="71"/>
        <v>-0.45262078938842637</v>
      </c>
      <c r="AS128" s="100">
        <f t="shared" si="72"/>
        <v>-0.79842307248118383</v>
      </c>
      <c r="AT128" s="6">
        <f t="shared" si="73"/>
        <v>1895.2984353237891</v>
      </c>
      <c r="AU128" s="6" t="str">
        <f t="shared" si="74"/>
        <v/>
      </c>
      <c r="AV128" s="6" t="str">
        <f t="shared" si="75"/>
        <v/>
      </c>
      <c r="AW128" s="6" t="str">
        <f t="shared" si="76"/>
        <v/>
      </c>
      <c r="AX128" s="12">
        <f t="shared" si="77"/>
        <v>198.39072784417817</v>
      </c>
      <c r="AY128" s="6" t="str">
        <f t="shared" si="78"/>
        <v/>
      </c>
      <c r="AZ128" s="6" t="str">
        <f t="shared" si="79"/>
        <v/>
      </c>
      <c r="BA128" s="6" t="str">
        <f t="shared" si="45"/>
        <v/>
      </c>
      <c r="BB128" s="12"/>
      <c r="BC128" s="6" t="str">
        <f t="shared" si="81"/>
        <v/>
      </c>
      <c r="BD128" s="6" t="str">
        <f t="shared" si="82"/>
        <v/>
      </c>
      <c r="BE128" s="6" t="str">
        <f t="shared" si="83"/>
        <v/>
      </c>
      <c r="BF128" s="12" t="str">
        <f t="shared" si="84"/>
        <v/>
      </c>
      <c r="BG128" s="12">
        <f t="shared" si="85"/>
        <v>0</v>
      </c>
      <c r="BH128" s="23"/>
      <c r="BI128" s="23"/>
      <c r="BJ128" s="23"/>
    </row>
    <row r="129" spans="1:62">
      <c r="A129" s="22"/>
      <c r="B129" s="6"/>
      <c r="C129" s="100">
        <f>'主翼(型紙出力)'!B135</f>
        <v>84</v>
      </c>
      <c r="D129" s="227">
        <f>IF(E129&lt;$M$8,"0",IF(E129&lt;$M$9,"0-1接合",IF(E129&lt;$M$10,"1",IF(E129&lt;$M$11,"1-2接合",IF(E129&lt;$M$12,"2",IF(E129&lt;$M$13,"2-3接合",3))))))</f>
        <v>3</v>
      </c>
      <c r="E129" s="12">
        <f>'主翼(型紙出力)'!C135</f>
        <v>12.800000000000017</v>
      </c>
      <c r="F129" s="6">
        <f t="shared" ref="F129:G132" si="89">MAX(T129,X129,AB129,AF129)/2</f>
        <v>19.851499999999927</v>
      </c>
      <c r="G129" s="6">
        <f t="shared" si="89"/>
        <v>19.557499999999926</v>
      </c>
      <c r="H129" s="6">
        <f t="shared" ref="H129:I132" si="90">MIN(V129,Z129,AD129,AH129)/2</f>
        <v>18.087499999999928</v>
      </c>
      <c r="I129" s="6">
        <f t="shared" si="90"/>
        <v>18.087499999999928</v>
      </c>
      <c r="J129" s="203">
        <v>40668.355264491103</v>
      </c>
      <c r="K129" s="203">
        <v>34677.168756294603</v>
      </c>
      <c r="L129" s="203">
        <v>74634.287333918503</v>
      </c>
      <c r="M129" s="204">
        <v>204.92042701243</v>
      </c>
      <c r="N129" s="204">
        <v>1163.22118341688</v>
      </c>
      <c r="O129" s="196">
        <v>121.13134204591699</v>
      </c>
      <c r="P129" s="6">
        <f t="shared" si="47"/>
        <v>37.62548204158788</v>
      </c>
      <c r="Q129" s="12">
        <f t="shared" si="48"/>
        <v>12.462150431909752</v>
      </c>
      <c r="R129" s="96">
        <f>P129*(10^9)*J129*(10^-12)</f>
        <v>1530.1664706650261</v>
      </c>
      <c r="S129" s="202">
        <f>Q129*(10^9)*L129*(10^-12)</f>
        <v>930.10371613366897</v>
      </c>
      <c r="T129" s="12" t="str">
        <f>IF(V129="","",V129+2*$D$28*$C$6)</f>
        <v/>
      </c>
      <c r="U129" s="12" t="str">
        <f>IF(W129="","",W129+2*$D$28*$D$6)</f>
        <v/>
      </c>
      <c r="V129" s="6" t="str">
        <f>IF(E129&lt;$M$7,$AD$6*E129+$AE$6,IF(E129&lt;$M$8,$AD$7*E129+$AE$7,IF(E129&lt;$M$9,$AD$8*E129+$AE$8,"")))</f>
        <v/>
      </c>
      <c r="W129" s="6" t="str">
        <f>IF(V129="","",V129*$D$20)</f>
        <v/>
      </c>
      <c r="X129" s="6" t="str">
        <f>IF(Z129="","",Z129+2*$D$27*$C$8)</f>
        <v/>
      </c>
      <c r="Y129" s="6" t="str">
        <f>IF(AA129="","",AA129+2*$D$27*$D$8)</f>
        <v/>
      </c>
      <c r="Z129" s="6" t="str">
        <f>IF(E129&lt;$M$8,"",IF(E129&lt;$M$9,$AF$8*E129+$AG$8,IF(E129&lt;$M$10,$AF$9*E129+$AG$9,IF(E129&lt;$M$11,$AF$10*E129+$AG$10,""))))</f>
        <v/>
      </c>
      <c r="AA129" s="6" t="str">
        <f t="shared" si="87"/>
        <v/>
      </c>
      <c r="AB129" s="6" t="str">
        <f>IF(AD129="","",AD129+2*$D$27*$C$9)</f>
        <v/>
      </c>
      <c r="AC129" s="6" t="str">
        <f>IF(AE129="","",AE129+2*$D$27*$D$9)</f>
        <v/>
      </c>
      <c r="AD129" s="6" t="str">
        <f>IF(E129&lt;$M$10,"",IF(E129&lt;$M$11,$AH$10*E129+$AI$10,IF(E129&lt;$M$12,$AH$11*E129+$AI$11,IF(E129&lt;$M$13,$AH$12*E129+$AI$12,""))))</f>
        <v/>
      </c>
      <c r="AE129" s="12" t="str">
        <f t="shared" si="44"/>
        <v/>
      </c>
      <c r="AF129" s="6">
        <f>IF(AH129="","",AH129+2*$D$27*$C$9)</f>
        <v>39.702999999999854</v>
      </c>
      <c r="AG129" s="6">
        <f>IF(AH129="","",AI129+2*$D$27*$D$9)</f>
        <v>39.114999999999853</v>
      </c>
      <c r="AH129" s="12">
        <f t="shared" si="88"/>
        <v>36.174999999999855</v>
      </c>
      <c r="AI129" s="6">
        <f>IF(AH129="","",AH129*$D$23)</f>
        <v>36.174999999999855</v>
      </c>
      <c r="AJ129" s="12">
        <f>'主翼(型紙出力)'!AE135/100</f>
        <v>1</v>
      </c>
      <c r="AK129" s="12">
        <f>'主翼(型紙出力)'!AG135/100</f>
        <v>0</v>
      </c>
      <c r="AL129" s="12">
        <f>'主翼(型紙出力)'!D135/1000</f>
        <v>0.26828571428570935</v>
      </c>
      <c r="AM129" s="12">
        <f>AJ129*$D$34+AK129*$D$35</f>
        <v>14.593327618117016</v>
      </c>
      <c r="AN129" s="6">
        <f t="shared" si="68"/>
        <v>39.151813238318937</v>
      </c>
      <c r="AO129" s="6">
        <f>AN129-F129*2</f>
        <v>-0.55118676168091696</v>
      </c>
      <c r="AP129" s="100">
        <f>IF(E129&lt;$M$8,$J$6,IF(E129&lt;$M$9,($J$6+$J$8)/2,IF(E129&lt;$M$10,$J$8,IF(E129&lt;$M$11,($J$8+$J$9)/2,$J$9))))</f>
        <v>-1513.25</v>
      </c>
      <c r="AQ129" s="218">
        <v>458.89006667423428</v>
      </c>
      <c r="AR129" s="100">
        <f>-AQ129*AVERAGE(F129,H129)/J129</f>
        <v>-0.21404640200380576</v>
      </c>
      <c r="AS129" s="100">
        <f>AR129*(F129-H129)</f>
        <v>-0.3775778531347132</v>
      </c>
      <c r="AT129" s="6">
        <f>AP129/AS129</f>
        <v>4007.7827325854801</v>
      </c>
      <c r="AU129" s="6" t="str">
        <f>IF(T129="","",PI()*(T129*U129-V129*W129)/4)</f>
        <v/>
      </c>
      <c r="AV129" s="6" t="str">
        <f>IF(X129="","",PI()*(X129*Y129-Z129*AA129)/4)</f>
        <v/>
      </c>
      <c r="AW129" s="6" t="str">
        <f>IF(AB129="","",PI()*(AB129*AC129-AD129*AE129)/4)</f>
        <v/>
      </c>
      <c r="AX129" s="12">
        <f>IF(AF129="","",PI()*(AF129*AG129-AH129*AI129)/4)</f>
        <v>191.91378481008832</v>
      </c>
      <c r="AY129" s="6" t="str">
        <f>IF(E129&lt;$M$9,AVERAGE(AU129:AU130)*(10^-6)*(E130-E129),"")</f>
        <v/>
      </c>
      <c r="AZ129" s="6" t="str">
        <f>IF(AND(E129&lt;$M$11,E129&gt;$M$8),AVERAGE(AV130,AV129)*(10^-6)*(E130-E129),"")</f>
        <v/>
      </c>
      <c r="BA129" s="6" t="str">
        <f t="shared" si="45"/>
        <v/>
      </c>
      <c r="BB129" s="12" t="str">
        <f>IF(AND(E129&lt;$M$14,E129&gt;$M$12),AVERAGE(AX129:AX130)*(10^-6)*(E130-E129),"")</f>
        <v/>
      </c>
      <c r="BC129" s="6" t="str">
        <f>IF(AY129="","",AY129*$AR$4*$AR$14)</f>
        <v/>
      </c>
      <c r="BD129" s="6" t="str">
        <f>IF(AZ129="","",AZ129*$AR$4*$AR$17)</f>
        <v/>
      </c>
      <c r="BE129" s="6" t="str">
        <f>IF(BA129="","",BA129*$AR$4*$AR$20)</f>
        <v/>
      </c>
      <c r="BF129" s="12" t="str">
        <f t="shared" si="84"/>
        <v/>
      </c>
      <c r="BG129" s="12">
        <f t="shared" si="85"/>
        <v>0</v>
      </c>
      <c r="BH129" s="23"/>
      <c r="BI129" s="23"/>
      <c r="BJ129" s="23"/>
    </row>
    <row r="130" spans="1:62">
      <c r="A130" s="22"/>
      <c r="B130" s="6"/>
      <c r="C130" s="158">
        <f>'主翼(型紙出力)'!B136</f>
        <v>85</v>
      </c>
      <c r="D130" s="227">
        <f>IF(E130&lt;$M$8,"0",IF(E130&lt;$M$9,"0-1接合",IF(E130&lt;$M$10,"1",IF(E130&lt;$M$11,"1-2接合",IF(E130&lt;$M$12,"2",IF(E130&lt;$M$13,"2-3接合",3))))))</f>
        <v>3</v>
      </c>
      <c r="E130" s="12">
        <f>'主翼(型紙出力)'!C136</f>
        <v>12.950000000000017</v>
      </c>
      <c r="F130" s="6">
        <f t="shared" si="89"/>
        <v>19.213999999999924</v>
      </c>
      <c r="G130" s="6">
        <f t="shared" si="89"/>
        <v>18.919999999999924</v>
      </c>
      <c r="H130" s="6">
        <f t="shared" si="90"/>
        <v>17.449999999999925</v>
      </c>
      <c r="I130" s="6">
        <f t="shared" si="90"/>
        <v>17.449999999999925</v>
      </c>
      <c r="J130" s="203">
        <v>36053.994380145203</v>
      </c>
      <c r="K130" s="203">
        <v>30699.396325232799</v>
      </c>
      <c r="L130" s="203">
        <v>66119.847167123502</v>
      </c>
      <c r="M130" s="204">
        <v>198.14883078622799</v>
      </c>
      <c r="N130" s="204">
        <v>1080.89651369276</v>
      </c>
      <c r="O130" s="196">
        <v>117.12574506561</v>
      </c>
      <c r="P130" s="6">
        <f t="shared" si="47"/>
        <v>36.980396975425307</v>
      </c>
      <c r="Q130" s="12">
        <f t="shared" si="48"/>
        <v>12.462150431909752</v>
      </c>
      <c r="R130" s="96">
        <f>P130*(10^9)*J130*(10^-12)</f>
        <v>1333.2910247275227</v>
      </c>
      <c r="S130" s="202">
        <f>Q130*(10^9)*L130*(10^-12)</f>
        <v>823.99548193157489</v>
      </c>
      <c r="T130" s="12" t="str">
        <f>IF(V130="","",V130+2*$D$28*$C$6)</f>
        <v/>
      </c>
      <c r="U130" s="12" t="str">
        <f>IF(W130="","",W130+2*$D$28*$D$6)</f>
        <v/>
      </c>
      <c r="V130" s="6" t="str">
        <f>IF(E130&lt;$M$7,$AD$6*E130+$AE$6,IF(E130&lt;$M$8,$AD$7*E130+$AE$7,IF(E130&lt;$M$9,$AD$8*E130+$AE$8,"")))</f>
        <v/>
      </c>
      <c r="W130" s="6" t="str">
        <f>IF(V130="","",V130*$D$20)</f>
        <v/>
      </c>
      <c r="X130" s="6" t="str">
        <f>IF(Z130="","",Z130+2*$D$27*$C$8)</f>
        <v/>
      </c>
      <c r="Y130" s="6" t="str">
        <f>IF(AA130="","",AA130+2*$D$27*$D$8)</f>
        <v/>
      </c>
      <c r="Z130" s="6" t="str">
        <f>IF(E130&lt;$M$8,"",IF(E130&lt;$M$9,$AF$8*E130+$AG$8,IF(E130&lt;$M$10,$AF$9*E130+$AG$9,IF(E130&lt;$M$11,$AF$10*E130+$AG$10,""))))</f>
        <v/>
      </c>
      <c r="AA130" s="6" t="str">
        <f t="shared" si="87"/>
        <v/>
      </c>
      <c r="AB130" s="6" t="str">
        <f>IF(AD130="","",AD130+2*$D$27*$C$9)</f>
        <v/>
      </c>
      <c r="AC130" s="6" t="str">
        <f>IF(AE130="","",AE130+2*$D$27*$D$9)</f>
        <v/>
      </c>
      <c r="AD130" s="6" t="str">
        <f>IF(E130&lt;$M$10,"",IF(E130&lt;$M$11,$AH$10*E130+$AI$10,IF(E130&lt;$M$12,$AH$11*E130+$AI$11,IF(E130&lt;$M$13,$AH$12*E130+$AI$12,""))))</f>
        <v/>
      </c>
      <c r="AE130" s="12" t="str">
        <f>IF(AD130="","",AD130*$D$22)</f>
        <v/>
      </c>
      <c r="AF130" s="6">
        <f>IF(AH130="","",AH130+2*$D$27*$C$9)</f>
        <v>38.427999999999848</v>
      </c>
      <c r="AG130" s="6">
        <f>IF(AH130="","",AI130+2*$D$27*$D$9)</f>
        <v>37.839999999999847</v>
      </c>
      <c r="AH130" s="12">
        <f t="shared" si="88"/>
        <v>34.899999999999849</v>
      </c>
      <c r="AI130" s="6">
        <f>IF(AH130="","",AH130*$D$23)</f>
        <v>34.899999999999849</v>
      </c>
      <c r="AJ130" s="12">
        <f>'主翼(型紙出力)'!AE136/100</f>
        <v>1</v>
      </c>
      <c r="AK130" s="12">
        <f>'主翼(型紙出力)'!AG136/100</f>
        <v>0</v>
      </c>
      <c r="AL130" s="12">
        <f>'主翼(型紙出力)'!D136/1000</f>
        <v>0.22885714285713821</v>
      </c>
      <c r="AM130" s="12">
        <f>AJ130*$D$34+AK130*$D$35</f>
        <v>14.593327618117016</v>
      </c>
      <c r="AN130" s="6">
        <f t="shared" si="68"/>
        <v>33.397872634604269</v>
      </c>
      <c r="AO130" s="6">
        <f>AN130-F130*2</f>
        <v>-5.0301273653955789</v>
      </c>
      <c r="AP130" s="100">
        <f>IF(E130&lt;$M$8,$J$6,IF(E130&lt;$M$9,($J$6+$J$8)/2,IF(E130&lt;$M$10,$J$8,IF(E130&lt;$M$11,($J$8+$J$9)/2,$J$9))))</f>
        <v>-1513.25</v>
      </c>
      <c r="AQ130" s="218">
        <v>179.24093706673088</v>
      </c>
      <c r="AR130" s="100">
        <f>-AQ130*AVERAGE(F130,H130)/J130</f>
        <v>-9.1136777347388703E-2</v>
      </c>
      <c r="AS130" s="100">
        <f>AR130*(F130-H130)</f>
        <v>-0.16076527524079362</v>
      </c>
      <c r="AT130" s="6">
        <f>AP130/AS130</f>
        <v>9412.7913987237589</v>
      </c>
      <c r="AU130" s="6" t="str">
        <f>IF(T130="","",PI()*(T130*U130-V130*W130)/4)</f>
        <v/>
      </c>
      <c r="AV130" s="6" t="str">
        <f>IF(X130="","",PI()*(X130*Y130-Z130*AA130)/4)</f>
        <v/>
      </c>
      <c r="AW130" s="6" t="str">
        <f>IF(AB130="","",PI()*(AB130*AC130-AD130*AE130)/4)</f>
        <v/>
      </c>
      <c r="AX130" s="12">
        <f>IF(AF130="","",PI()*(AF130*AG130-AH130*AI130)/4)</f>
        <v>185.43684177599866</v>
      </c>
      <c r="AY130" s="6" t="str">
        <f>IF(E130&lt;$M$9,AVERAGE(AU130:AU131)*(10^-6)*(E131-E130),"")</f>
        <v/>
      </c>
      <c r="AZ130" s="6" t="str">
        <f>IF(AND(E130&lt;$M$11,E130&gt;$M$8),AVERAGE(AV131,AV130)*(10^-6)*(E131-E130),"")</f>
        <v/>
      </c>
      <c r="BA130" s="6" t="str">
        <f t="shared" si="45"/>
        <v/>
      </c>
      <c r="BB130" s="12" t="str">
        <f>IF(AND(E130&lt;$M$14,E130&gt;$M$12),AVERAGE(AX130:AX131)*(10^-6)*(E131-E130),"")</f>
        <v/>
      </c>
      <c r="BC130" s="6" t="str">
        <f>IF(AY130="","",AY130*$AR$4*$AR$14)</f>
        <v/>
      </c>
      <c r="BD130" s="6" t="str">
        <f>IF(AZ130="","",AZ130*$AR$4*$AR$17)</f>
        <v/>
      </c>
      <c r="BE130" s="6" t="str">
        <f>IF(BA130="","",BA130*$AR$4*$AR$20)</f>
        <v/>
      </c>
      <c r="BF130" s="12" t="str">
        <f t="shared" si="84"/>
        <v/>
      </c>
      <c r="BG130" s="12">
        <f t="shared" si="85"/>
        <v>0</v>
      </c>
      <c r="BH130" s="23"/>
      <c r="BI130" s="23"/>
      <c r="BJ130" s="23"/>
    </row>
    <row r="131" spans="1:62">
      <c r="A131" s="22"/>
      <c r="B131" s="6"/>
      <c r="C131" s="100">
        <f>'主翼(型紙出力)'!B137</f>
        <v>86</v>
      </c>
      <c r="D131" s="227">
        <f>IF(E131&lt;$M$8,"0",IF(E131&lt;$M$9,"0-1接合",IF(E131&lt;$M$10,"1",IF(E131&lt;$M$11,"1-2接合",IF(E131&lt;$M$12,"2",IF(E131&lt;$M$13,"2-3接合",3))))))</f>
        <v>3</v>
      </c>
      <c r="E131" s="12">
        <f>'主翼(型紙出力)'!C137</f>
        <v>13.100000000000017</v>
      </c>
      <c r="F131" s="6">
        <f t="shared" si="89"/>
        <v>18.576499999999921</v>
      </c>
      <c r="G131" s="6">
        <f t="shared" si="89"/>
        <v>18.282499999999921</v>
      </c>
      <c r="H131" s="6">
        <f t="shared" si="90"/>
        <v>16.812499999999922</v>
      </c>
      <c r="I131" s="6">
        <f t="shared" si="90"/>
        <v>16.812499999999922</v>
      </c>
      <c r="J131" s="203">
        <v>31439.633495799299</v>
      </c>
      <c r="K131" s="203">
        <v>26721.623894171</v>
      </c>
      <c r="L131" s="203">
        <v>57605.407000328501</v>
      </c>
      <c r="M131" s="204">
        <v>191.37723456002601</v>
      </c>
      <c r="N131" s="204">
        <v>998.57184396865205</v>
      </c>
      <c r="O131" s="196">
        <v>113.120148085304</v>
      </c>
      <c r="P131" s="6">
        <f t="shared" si="47"/>
        <v>36.335311909262735</v>
      </c>
      <c r="Q131" s="12">
        <f t="shared" si="48"/>
        <v>12.462150431909752</v>
      </c>
      <c r="R131" s="96">
        <f>P131*(10^9)*J131*(10^-12)</f>
        <v>1142.3688893827718</v>
      </c>
      <c r="S131" s="202">
        <f>Q131*(10^9)*L131*(10^-12)</f>
        <v>717.8872477294808</v>
      </c>
      <c r="T131" s="12" t="str">
        <f>IF(V131="","",V131+2*$D$28*$C$6)</f>
        <v/>
      </c>
      <c r="U131" s="12" t="str">
        <f>IF(W131="","",W131+2*$D$28*$D$6)</f>
        <v/>
      </c>
      <c r="V131" s="6" t="str">
        <f>IF(E131&lt;$M$7,$AD$6*E131+$AE$6,IF(E131&lt;$M$8,$AD$7*E131+$AE$7,IF(E131&lt;$M$9,$AD$8*E131+$AE$8,"")))</f>
        <v/>
      </c>
      <c r="W131" s="6" t="str">
        <f>IF(V131="","",V131*$D$20)</f>
        <v/>
      </c>
      <c r="X131" s="6" t="str">
        <f>IF(Z131="","",Z131+2*$D$27*$C$8)</f>
        <v/>
      </c>
      <c r="Y131" s="6" t="str">
        <f>IF(AA131="","",AA131+2*$D$27*$D$8)</f>
        <v/>
      </c>
      <c r="Z131" s="6" t="str">
        <f>IF(E131&lt;$M$8,"",IF(E131&lt;$M$9,$AF$8*E131+$AG$8,IF(E131&lt;$M$10,$AF$9*E131+$AG$9,IF(E131&lt;$M$11,$AF$10*E131+$AG$10,""))))</f>
        <v/>
      </c>
      <c r="AA131" s="6" t="str">
        <f t="shared" si="87"/>
        <v/>
      </c>
      <c r="AB131" s="6" t="str">
        <f>IF(AD131="","",AD131+2*$D$27*$C$9)</f>
        <v/>
      </c>
      <c r="AC131" s="6" t="str">
        <f>IF(AE131="","",AE131+2*$D$27*$D$9)</f>
        <v/>
      </c>
      <c r="AD131" s="6" t="str">
        <f>IF(E131&lt;$M$10,"",IF(E131&lt;$M$11,$AH$10*E131+$AI$10,IF(E131&lt;$M$12,$AH$11*E131+$AI$11,IF(E131&lt;$M$13,$AH$12*E131+$AI$12,""))))</f>
        <v/>
      </c>
      <c r="AE131" s="12" t="str">
        <f>IF(AD131="","",AD131*$D$22)</f>
        <v/>
      </c>
      <c r="AF131" s="6">
        <f>IF(AH131="","",AH131+2*$D$27*$C$9)</f>
        <v>37.152999999999842</v>
      </c>
      <c r="AG131" s="6">
        <f>IF(AH131="","",AI131+2*$D$27*$D$9)</f>
        <v>36.564999999999841</v>
      </c>
      <c r="AH131" s="12">
        <f t="shared" si="88"/>
        <v>33.624999999999844</v>
      </c>
      <c r="AI131" s="6">
        <f>IF(AH131="","",AH131*$D$23)</f>
        <v>33.624999999999844</v>
      </c>
      <c r="AJ131" s="12">
        <f>'主翼(型紙出力)'!AE137/100</f>
        <v>1</v>
      </c>
      <c r="AK131" s="12">
        <f>'主翼(型紙出力)'!AG137/100</f>
        <v>0</v>
      </c>
      <c r="AL131" s="12">
        <f>'主翼(型紙出力)'!D137/1000</f>
        <v>0.18942857142856662</v>
      </c>
      <c r="AM131" s="12">
        <f>AJ131*$D$34+AK131*$D$35</f>
        <v>14.593327618117016</v>
      </c>
      <c r="AN131" s="6">
        <f t="shared" si="68"/>
        <v>27.64393203088953</v>
      </c>
      <c r="AO131" s="6">
        <f>AN131-F131*2</f>
        <v>-9.5090679691103119</v>
      </c>
      <c r="AP131" s="100">
        <f>IF(E131&lt;$M$8,$J$6,IF(E131&lt;$M$9,($J$6+$J$8)/2,IF(E131&lt;$M$10,$J$8,IF(E131&lt;$M$11,($J$8+$J$9)/2,$J$9))))</f>
        <v>-1513.25</v>
      </c>
      <c r="AQ131" s="218">
        <v>39.669641506476793</v>
      </c>
      <c r="AR131" s="100">
        <f>-AQ131*AVERAGE(F131,H131)/J131</f>
        <v>-2.2326420304172343E-2</v>
      </c>
      <c r="AS131" s="100">
        <f>AR131*(F131-H131)</f>
        <v>-3.9383805416559996E-2</v>
      </c>
      <c r="AT131" s="6">
        <f>AP131/AS131</f>
        <v>38423.153476269021</v>
      </c>
      <c r="AU131" s="6" t="str">
        <f>IF(T131="","",PI()*(T131*U131-V131*W131)/4)</f>
        <v/>
      </c>
      <c r="AV131" s="6" t="str">
        <f>IF(X131="","",PI()*(X131*Y131-Z131*AA131)/4)</f>
        <v/>
      </c>
      <c r="AW131" s="6" t="str">
        <f>IF(AB131="","",PI()*(AB131*AC131-AD131*AE131)/4)</f>
        <v/>
      </c>
      <c r="AX131" s="12">
        <f>IF(AF131="","",PI()*(AF131*AG131-AH131*AI131)/4)</f>
        <v>178.9598987419088</v>
      </c>
      <c r="AY131" s="6" t="str">
        <f>IF(E131&lt;$M$9,AVERAGE(AU131:AU132)*(10^-6)*(E132-E131),"")</f>
        <v/>
      </c>
      <c r="AZ131" s="6" t="str">
        <f>IF(AND(E131&lt;$M$11,E131&gt;$M$8),AVERAGE(AV132,AV131)*(10^-6)*(E132-E131),"")</f>
        <v/>
      </c>
      <c r="BA131" s="6" t="str">
        <f t="shared" si="45"/>
        <v/>
      </c>
      <c r="BB131" s="12"/>
      <c r="BC131" s="6" t="str">
        <f>IF(AY131="","",AY131*$AR$4*$AR$14)</f>
        <v/>
      </c>
      <c r="BD131" s="6" t="str">
        <f>IF(AZ131="","",AZ131*$AR$4*$AR$17)</f>
        <v/>
      </c>
      <c r="BE131" s="6" t="str">
        <f>IF(BA131="","",BA131*$AR$4*$AR$20)</f>
        <v/>
      </c>
      <c r="BF131" s="12" t="str">
        <f t="shared" si="84"/>
        <v/>
      </c>
      <c r="BG131" s="12">
        <f t="shared" si="85"/>
        <v>0</v>
      </c>
      <c r="BH131" s="23"/>
      <c r="BI131" s="23"/>
      <c r="BJ131" s="23"/>
    </row>
    <row r="132" spans="1:62">
      <c r="A132" s="22"/>
      <c r="B132" s="6"/>
      <c r="C132" s="100">
        <f>'主翼(型紙出力)'!B138</f>
        <v>87</v>
      </c>
      <c r="D132" s="227">
        <f>IF(E132&lt;$M$8,"0",IF(E132&lt;$M$9,"0-1接合",IF(E132&lt;$M$10,"1",IF(E132&lt;$M$11,"1-2接合",IF(E132&lt;$M$12,"2",IF(E132&lt;$M$13,"2-3接合",3))))))</f>
        <v>3</v>
      </c>
      <c r="E132" s="12">
        <f>'主翼(型紙出力)'!C138</f>
        <v>13.250000000000018</v>
      </c>
      <c r="F132" s="6">
        <f t="shared" si="89"/>
        <v>17.938999999999918</v>
      </c>
      <c r="G132" s="6">
        <f t="shared" si="89"/>
        <v>17.644999999999918</v>
      </c>
      <c r="H132" s="6">
        <f t="shared" si="90"/>
        <v>16.174999999999919</v>
      </c>
      <c r="I132" s="6">
        <f t="shared" si="90"/>
        <v>16.174999999999919</v>
      </c>
      <c r="J132" s="203">
        <v>31439.633495799299</v>
      </c>
      <c r="K132" s="203">
        <v>26721.623894171</v>
      </c>
      <c r="L132" s="203">
        <v>57605.407000328501</v>
      </c>
      <c r="M132" s="204">
        <v>191.37723456002601</v>
      </c>
      <c r="N132" s="204">
        <v>998.57184396865205</v>
      </c>
      <c r="O132" s="196">
        <v>113.120148085304</v>
      </c>
      <c r="P132" s="6" t="b">
        <f t="shared" si="47"/>
        <v>0</v>
      </c>
      <c r="Q132" s="12" t="b">
        <f t="shared" si="48"/>
        <v>0</v>
      </c>
      <c r="R132" s="96">
        <f>P132*(10^9)*J132*(10^-12)</f>
        <v>0</v>
      </c>
      <c r="S132" s="202">
        <f>Q132*(10^9)*L132*(10^-12)</f>
        <v>0</v>
      </c>
      <c r="T132" s="12" t="str">
        <f>IF(V132="","",V132+2*$D$28*$C$6)</f>
        <v/>
      </c>
      <c r="U132" s="12" t="str">
        <f>IF(W132="","",W132+2*$D$28*$D$6)</f>
        <v/>
      </c>
      <c r="V132" s="6" t="str">
        <f>IF(E132&lt;$M$7,$AD$6*E132+$AE$6,IF(E132&lt;$M$8,$AD$7*E132+$AE$7,IF(E132&lt;$M$9,$AD$8*E132+$AE$8,"")))</f>
        <v/>
      </c>
      <c r="W132" s="6" t="str">
        <f>IF(V132="","",V132*$D$20)</f>
        <v/>
      </c>
      <c r="X132" s="6" t="str">
        <f>IF(Z132="","",Z132+2*$D$27*$C$8)</f>
        <v/>
      </c>
      <c r="Y132" s="6" t="str">
        <f>IF(AA132="","",AA132+2*$D$27*$D$8)</f>
        <v/>
      </c>
      <c r="Z132" s="6" t="str">
        <f>IF(E132&lt;$M$8,"",IF(E132&lt;$M$9,$AF$8*E132+$AG$8,IF(E132&lt;$M$10,$AF$9*E132+$AG$9,IF(E132&lt;$M$11,$AF$10*E132+$AG$10,""))))</f>
        <v/>
      </c>
      <c r="AA132" s="6" t="str">
        <f t="shared" si="87"/>
        <v/>
      </c>
      <c r="AB132" s="6" t="str">
        <f>IF(AD132="","",AD132+2*$D$27*$C$9)</f>
        <v/>
      </c>
      <c r="AC132" s="6" t="str">
        <f>IF(AE132="","",AE132+2*$D$27*$D$9)</f>
        <v/>
      </c>
      <c r="AD132" s="6" t="str">
        <f>IF(E132&lt;$M$10,"",IF(E132&lt;$M$11,$AH$10*E132+$AI$10,IF(E132&lt;$M$12,$AH$11*E132+$AI$11,IF(E132&lt;$M$13,$AH$12*E132+$AI$12,""))))</f>
        <v/>
      </c>
      <c r="AE132" s="12" t="str">
        <f>IF(AD132="","",AD132*$D$22)</f>
        <v/>
      </c>
      <c r="AF132" s="6">
        <f>IF(AH132="","",AH132+2*$D$27*$C$9)</f>
        <v>35.877999999999837</v>
      </c>
      <c r="AG132" s="6">
        <f>IF(AH132="","",AI132+2*$D$27*$D$9)</f>
        <v>35.289999999999836</v>
      </c>
      <c r="AH132" s="12">
        <f t="shared" si="88"/>
        <v>32.349999999999838</v>
      </c>
      <c r="AI132" s="6">
        <f>IF(AH132="","",AH132*$D$23)</f>
        <v>32.349999999999838</v>
      </c>
      <c r="AJ132" s="12">
        <f>'主翼(型紙出力)'!AE138/100</f>
        <v>1</v>
      </c>
      <c r="AK132" s="12">
        <f>'主翼(型紙出力)'!AG138/100</f>
        <v>0</v>
      </c>
      <c r="AL132" s="12">
        <f>'主翼(型紙出力)'!D138/1000</f>
        <v>0.14999999999999503</v>
      </c>
      <c r="AM132" s="12">
        <f>AJ132*$D$34+AK132*$D$35</f>
        <v>14.593327618117016</v>
      </c>
      <c r="AN132" s="6">
        <f t="shared" si="68"/>
        <v>21.889991427174799</v>
      </c>
      <c r="AO132" s="6">
        <f>AN132-F132*2</f>
        <v>-13.988008572825038</v>
      </c>
      <c r="AP132" s="100">
        <f>IF(E132&lt;$M$8,$J$6,IF(E132&lt;$M$9,($J$6+$J$8)/2,IF(E132&lt;$M$10,$J$8,IF(E132&lt;$M$11,($J$8+$J$9)/2,$J$9))))</f>
        <v>-1513.25</v>
      </c>
      <c r="AQ132" s="218">
        <v>5.812009006371105E-2</v>
      </c>
      <c r="AR132" s="100">
        <f>-AQ132*AVERAGE(F132,H132)/J132</f>
        <v>-3.1531995318875807E-5</v>
      </c>
      <c r="AS132" s="100">
        <f>AR132*(F132-H132)</f>
        <v>-5.5622439742496903E-5</v>
      </c>
      <c r="AT132" s="6">
        <f>AP132/AS132</f>
        <v>27205746.583673138</v>
      </c>
      <c r="AU132" s="6" t="str">
        <f>IF(T132="","",PI()*(T132*U132-V132*W132)/4)</f>
        <v/>
      </c>
      <c r="AV132" s="6" t="str">
        <f>IF(X132="","",PI()*(X132*Y132-Z132*AA132)/4)</f>
        <v/>
      </c>
      <c r="AW132" s="6" t="str">
        <f>IF(AB132="","",PI()*(AB132*AC132-AD132*AE132)/4)</f>
        <v/>
      </c>
      <c r="AX132" s="12">
        <f>IF(AF132="","",PI()*(AF132*AG132-AH132*AI132)/4)</f>
        <v>172.48295570781912</v>
      </c>
      <c r="AY132" s="6" t="str">
        <f>IF(E132&lt;$M$9,AVERAGE(AU132:AU133)*(10^-6)*(E133-E132),"")</f>
        <v/>
      </c>
      <c r="AZ132" s="6" t="str">
        <f>IF(AND(E132&lt;$M$11,E132&gt;$M$8),AVERAGE(AV133,AV132)*(10^-6)*(E133-E132),"")</f>
        <v/>
      </c>
      <c r="BA132" s="6" t="str">
        <f t="shared" si="45"/>
        <v/>
      </c>
      <c r="BB132" s="12" t="str">
        <f>IF(AND(E132&lt;$M$14,E132&gt;$M$12),AVERAGE(AX132:AX133)*(10^-6)*(E133-E132),"")</f>
        <v/>
      </c>
      <c r="BC132" s="6" t="str">
        <f>IF(AY132="","",AY132*$AR$4*$AR$14)</f>
        <v/>
      </c>
      <c r="BD132" s="6" t="str">
        <f>IF(AZ132="","",AZ132*$AR$4*$AR$17)</f>
        <v/>
      </c>
      <c r="BE132" s="6" t="str">
        <f>IF(BA132="","",BA132*$AR$4*$AR$20)</f>
        <v/>
      </c>
      <c r="BF132" s="12" t="str">
        <f t="shared" si="84"/>
        <v/>
      </c>
      <c r="BG132" s="12">
        <f t="shared" si="85"/>
        <v>0</v>
      </c>
      <c r="BH132" s="23"/>
      <c r="BI132" s="23"/>
      <c r="BJ132" s="23"/>
    </row>
    <row r="133" spans="1:62">
      <c r="A133" s="22"/>
      <c r="B133" s="6"/>
      <c r="C133" s="100"/>
      <c r="D133" s="227"/>
      <c r="E133" s="6"/>
      <c r="F133" s="6"/>
      <c r="G133" s="6"/>
      <c r="H133" s="6"/>
      <c r="I133" s="6"/>
      <c r="J133" s="203"/>
      <c r="K133" s="203"/>
      <c r="L133" s="203"/>
      <c r="M133" s="204"/>
      <c r="N133" s="204"/>
      <c r="O133" s="196"/>
      <c r="P133" s="6"/>
      <c r="Q133" s="12"/>
      <c r="R133" s="96"/>
      <c r="S133" s="96"/>
      <c r="T133" s="6"/>
      <c r="U133" s="6"/>
      <c r="V133" s="6"/>
      <c r="W133" s="6"/>
      <c r="X133" s="6"/>
      <c r="Y133" s="6"/>
      <c r="Z133" s="6"/>
      <c r="AA133" s="6"/>
      <c r="AB133" s="6"/>
      <c r="AC133" s="6"/>
      <c r="AD133" s="6"/>
      <c r="AE133" s="6"/>
      <c r="AF133" s="6"/>
      <c r="AG133" s="6"/>
      <c r="AH133" s="12"/>
      <c r="AI133" s="6"/>
      <c r="AJ133" s="12"/>
      <c r="AK133" s="12"/>
      <c r="AL133" s="12"/>
      <c r="AM133" s="6"/>
      <c r="AN133" s="6"/>
      <c r="AO133" s="6"/>
      <c r="AP133" s="100"/>
      <c r="AQ133" s="218"/>
      <c r="AR133" s="100"/>
      <c r="AS133" s="100"/>
      <c r="AT133" s="6"/>
      <c r="AU133" s="6"/>
      <c r="AV133" s="6"/>
      <c r="AW133" s="6"/>
      <c r="AX133" s="6"/>
      <c r="AY133" s="6"/>
      <c r="AZ133" s="6"/>
      <c r="BA133" s="6"/>
      <c r="BB133" s="6"/>
      <c r="BC133" s="6"/>
      <c r="BD133" s="6"/>
      <c r="BE133" s="6"/>
      <c r="BF133" s="6"/>
      <c r="BG133" s="12">
        <f t="shared" si="85"/>
        <v>0</v>
      </c>
      <c r="BH133" s="23"/>
      <c r="BI133" s="23"/>
      <c r="BJ133" s="23"/>
    </row>
    <row r="134" spans="1:62">
      <c r="A134" s="22"/>
      <c r="B134" s="6"/>
      <c r="C134" s="100">
        <v>0</v>
      </c>
      <c r="D134" s="227"/>
      <c r="E134" s="12"/>
      <c r="F134" s="6"/>
      <c r="G134" s="6"/>
      <c r="H134" s="6"/>
      <c r="I134" s="6"/>
      <c r="J134" s="203"/>
      <c r="K134" s="203"/>
      <c r="L134" s="203"/>
      <c r="M134" s="204"/>
      <c r="N134" s="204"/>
      <c r="O134" s="196"/>
      <c r="P134" s="6"/>
      <c r="Q134" s="12"/>
      <c r="R134" s="96"/>
      <c r="S134" s="202"/>
      <c r="T134" s="12"/>
      <c r="U134" s="12"/>
      <c r="V134" s="6"/>
      <c r="W134" s="6"/>
      <c r="X134" s="6"/>
      <c r="Y134" s="6"/>
      <c r="Z134" s="6"/>
      <c r="AA134" s="6"/>
      <c r="AB134" s="6"/>
      <c r="AC134" s="6"/>
      <c r="AD134" s="6"/>
      <c r="AE134" s="12"/>
      <c r="AF134" s="6"/>
      <c r="AG134" s="6"/>
      <c r="AH134" s="12"/>
      <c r="AI134" s="6"/>
      <c r="AJ134" s="12"/>
      <c r="AK134" s="12"/>
      <c r="AL134" s="12"/>
      <c r="AM134" s="12"/>
      <c r="AN134" s="6"/>
      <c r="AO134" s="6"/>
      <c r="AP134" s="100"/>
      <c r="AQ134" s="218"/>
      <c r="AR134" s="100"/>
      <c r="AS134" s="100"/>
      <c r="AT134" s="6"/>
      <c r="AU134" s="6"/>
      <c r="AV134" s="6"/>
      <c r="AW134" s="6"/>
      <c r="AX134" s="12"/>
      <c r="AY134" s="6"/>
      <c r="AZ134" s="6"/>
      <c r="BA134" s="6"/>
      <c r="BB134" s="12"/>
      <c r="BC134" s="6"/>
      <c r="BD134" s="6"/>
      <c r="BE134" s="6"/>
      <c r="BF134" s="12"/>
      <c r="BG134" s="12">
        <f t="shared" si="85"/>
        <v>0</v>
      </c>
      <c r="BH134" s="23"/>
      <c r="BI134" s="23"/>
      <c r="BJ134" s="23"/>
    </row>
    <row r="135" spans="1:62">
      <c r="A135" s="22"/>
      <c r="B135" s="6"/>
      <c r="C135" s="158">
        <v>0</v>
      </c>
      <c r="D135" s="227"/>
      <c r="E135" s="12"/>
      <c r="F135" s="6"/>
      <c r="G135" s="6"/>
      <c r="H135" s="6"/>
      <c r="I135" s="6"/>
      <c r="J135" s="203"/>
      <c r="K135" s="203"/>
      <c r="L135" s="203"/>
      <c r="M135" s="204"/>
      <c r="N135" s="204"/>
      <c r="O135" s="196"/>
      <c r="P135" s="6"/>
      <c r="Q135" s="12"/>
      <c r="R135" s="96"/>
      <c r="S135" s="202"/>
      <c r="T135" s="12"/>
      <c r="U135" s="12"/>
      <c r="V135" s="6"/>
      <c r="W135" s="6"/>
      <c r="X135" s="6"/>
      <c r="Y135" s="6"/>
      <c r="Z135" s="6"/>
      <c r="AA135" s="6"/>
      <c r="AB135" s="6"/>
      <c r="AC135" s="6"/>
      <c r="AD135" s="6"/>
      <c r="AE135" s="12"/>
      <c r="AF135" s="6"/>
      <c r="AG135" s="6"/>
      <c r="AH135" s="12"/>
      <c r="AI135" s="6"/>
      <c r="AJ135" s="12"/>
      <c r="AK135" s="12"/>
      <c r="AL135" s="12"/>
      <c r="AM135" s="12"/>
      <c r="AN135" s="6"/>
      <c r="AO135" s="6"/>
      <c r="AP135" s="100"/>
      <c r="AQ135" s="218"/>
      <c r="AR135" s="100"/>
      <c r="AS135" s="100"/>
      <c r="AT135" s="6"/>
      <c r="AU135" s="6"/>
      <c r="AV135" s="6"/>
      <c r="AW135" s="6"/>
      <c r="AX135" s="12"/>
      <c r="AY135" s="6"/>
      <c r="AZ135" s="6"/>
      <c r="BA135" s="6"/>
      <c r="BB135" s="12"/>
      <c r="BC135" s="6"/>
      <c r="BD135" s="6"/>
      <c r="BE135" s="6"/>
      <c r="BF135" s="12"/>
      <c r="BG135" s="12"/>
      <c r="BH135" s="23"/>
      <c r="BI135" s="23"/>
      <c r="BJ135" s="23"/>
    </row>
    <row r="136" spans="1:62">
      <c r="A136" s="22"/>
      <c r="B136" s="6"/>
      <c r="C136" s="100">
        <v>0</v>
      </c>
      <c r="D136" s="227"/>
      <c r="E136" s="12"/>
      <c r="F136" s="6"/>
      <c r="G136" s="6"/>
      <c r="H136" s="6"/>
      <c r="I136" s="6"/>
      <c r="J136" s="203"/>
      <c r="K136" s="203"/>
      <c r="L136" s="203"/>
      <c r="M136" s="204"/>
      <c r="N136" s="204"/>
      <c r="O136" s="196"/>
      <c r="P136" s="6"/>
      <c r="Q136" s="12"/>
      <c r="R136" s="96"/>
      <c r="S136" s="202"/>
      <c r="T136" s="12"/>
      <c r="U136" s="12"/>
      <c r="V136" s="6"/>
      <c r="W136" s="6"/>
      <c r="X136" s="6"/>
      <c r="Y136" s="6"/>
      <c r="Z136" s="6"/>
      <c r="AA136" s="6"/>
      <c r="AB136" s="6"/>
      <c r="AC136" s="6"/>
      <c r="AD136" s="6"/>
      <c r="AE136" s="12"/>
      <c r="AF136" s="6"/>
      <c r="AG136" s="6"/>
      <c r="AH136" s="12"/>
      <c r="AI136" s="6"/>
      <c r="AJ136" s="12"/>
      <c r="AK136" s="12"/>
      <c r="AL136" s="12"/>
      <c r="AM136" s="12"/>
      <c r="AN136" s="6"/>
      <c r="AO136" s="6"/>
      <c r="AP136" s="100"/>
      <c r="AQ136" s="218"/>
      <c r="AR136" s="100"/>
      <c r="AS136" s="100"/>
      <c r="AT136" s="6"/>
      <c r="AU136" s="6"/>
      <c r="AV136" s="6"/>
      <c r="AW136" s="6"/>
      <c r="AX136" s="12"/>
      <c r="AY136" s="6"/>
      <c r="AZ136" s="6"/>
      <c r="BA136" s="6"/>
      <c r="BB136" s="12"/>
      <c r="BC136" s="6"/>
      <c r="BD136" s="6"/>
      <c r="BE136" s="6"/>
      <c r="BF136" s="12"/>
      <c r="BG136" s="12"/>
      <c r="BH136" s="23"/>
      <c r="BI136" s="23"/>
      <c r="BJ136" s="23"/>
    </row>
    <row r="137" spans="1:62">
      <c r="A137" s="22"/>
      <c r="B137" s="6"/>
      <c r="C137" s="100">
        <v>0</v>
      </c>
      <c r="D137" s="227"/>
      <c r="E137" s="12"/>
      <c r="F137" s="6"/>
      <c r="G137" s="6"/>
      <c r="H137" s="6"/>
      <c r="I137" s="6"/>
      <c r="J137" s="203"/>
      <c r="K137" s="203"/>
      <c r="L137" s="203"/>
      <c r="M137" s="204"/>
      <c r="N137" s="204"/>
      <c r="O137" s="196"/>
      <c r="P137" s="6"/>
      <c r="Q137" s="12"/>
      <c r="R137" s="96"/>
      <c r="S137" s="202"/>
      <c r="T137" s="12"/>
      <c r="U137" s="12"/>
      <c r="V137" s="6"/>
      <c r="W137" s="6"/>
      <c r="X137" s="6"/>
      <c r="Y137" s="6"/>
      <c r="Z137" s="6"/>
      <c r="AA137" s="6"/>
      <c r="AB137" s="6"/>
      <c r="AC137" s="6"/>
      <c r="AD137" s="6"/>
      <c r="AE137" s="12"/>
      <c r="AF137" s="6"/>
      <c r="AG137" s="6"/>
      <c r="AH137" s="12"/>
      <c r="AI137" s="6"/>
      <c r="AJ137" s="12"/>
      <c r="AK137" s="12"/>
      <c r="AL137" s="12"/>
      <c r="AM137" s="12"/>
      <c r="AN137" s="6"/>
      <c r="AO137" s="6"/>
      <c r="AP137" s="100"/>
      <c r="AQ137" s="218"/>
      <c r="AR137" s="100"/>
      <c r="AS137" s="100"/>
      <c r="AT137" s="6"/>
      <c r="AU137" s="6"/>
      <c r="AV137" s="6"/>
      <c r="AW137" s="6"/>
      <c r="AX137" s="12"/>
      <c r="AY137" s="6"/>
      <c r="AZ137" s="6"/>
      <c r="BA137" s="6"/>
      <c r="BB137" s="12"/>
      <c r="BC137" s="6"/>
      <c r="BD137" s="6"/>
      <c r="BE137" s="6"/>
      <c r="BF137" s="12"/>
      <c r="BG137" s="12"/>
      <c r="BH137" s="23"/>
      <c r="BI137" s="23"/>
      <c r="BJ137" s="23"/>
    </row>
    <row r="138" spans="1:62">
      <c r="A138" s="22"/>
      <c r="B138" s="6"/>
      <c r="C138" s="100"/>
      <c r="D138" s="227"/>
      <c r="E138" s="6"/>
      <c r="F138" s="6"/>
      <c r="G138" s="6"/>
      <c r="H138" s="6"/>
      <c r="I138" s="6"/>
      <c r="J138" s="203"/>
      <c r="K138" s="203"/>
      <c r="L138" s="203"/>
      <c r="M138" s="204"/>
      <c r="N138" s="204"/>
      <c r="O138" s="196"/>
      <c r="P138" s="6"/>
      <c r="Q138" s="12"/>
      <c r="R138" s="96"/>
      <c r="S138" s="96"/>
      <c r="T138" s="6"/>
      <c r="U138" s="6"/>
      <c r="V138" s="6"/>
      <c r="W138" s="6"/>
      <c r="X138" s="6"/>
      <c r="Y138" s="6"/>
      <c r="Z138" s="6"/>
      <c r="AA138" s="6"/>
      <c r="AB138" s="6"/>
      <c r="AC138" s="6"/>
      <c r="AD138" s="6"/>
      <c r="AE138" s="6"/>
      <c r="AF138" s="6"/>
      <c r="AG138" s="6"/>
      <c r="AH138" s="12"/>
      <c r="AI138" s="6"/>
      <c r="AJ138" s="12"/>
      <c r="AK138" s="12"/>
      <c r="AL138" s="12"/>
      <c r="AM138" s="6"/>
      <c r="AN138" s="6"/>
      <c r="AO138" s="6"/>
      <c r="AP138" s="100"/>
      <c r="AQ138" s="218"/>
      <c r="AR138" s="100"/>
      <c r="AS138" s="100"/>
      <c r="AT138" s="6"/>
      <c r="AU138" s="6"/>
      <c r="AV138" s="6"/>
      <c r="AW138" s="6"/>
      <c r="AX138" s="6"/>
      <c r="AY138" s="6"/>
      <c r="AZ138" s="6"/>
      <c r="BA138" s="6"/>
      <c r="BB138" s="6"/>
      <c r="BC138" s="6"/>
      <c r="BD138" s="6"/>
      <c r="BE138" s="6"/>
      <c r="BF138" s="6"/>
      <c r="BG138" s="6"/>
      <c r="BH138" s="23"/>
      <c r="BI138" s="23"/>
      <c r="BJ138" s="23"/>
    </row>
    <row r="139" spans="1:62">
      <c r="A139" s="22"/>
      <c r="B139" s="6"/>
      <c r="C139" s="100"/>
      <c r="D139" s="227"/>
      <c r="E139" s="12"/>
      <c r="F139" s="6"/>
      <c r="G139" s="6"/>
      <c r="H139" s="6"/>
      <c r="I139" s="6"/>
      <c r="J139" s="203"/>
      <c r="K139" s="203"/>
      <c r="L139" s="203"/>
      <c r="M139" s="204"/>
      <c r="N139" s="204"/>
      <c r="O139" s="196"/>
      <c r="P139" s="6"/>
      <c r="Q139" s="12"/>
      <c r="R139" s="96"/>
      <c r="S139" s="202"/>
      <c r="T139" s="12"/>
      <c r="U139" s="12"/>
      <c r="V139" s="6"/>
      <c r="W139" s="6"/>
      <c r="X139" s="6"/>
      <c r="Y139" s="6"/>
      <c r="Z139" s="6"/>
      <c r="AA139" s="6"/>
      <c r="AB139" s="6"/>
      <c r="AC139" s="6"/>
      <c r="AD139" s="6"/>
      <c r="AE139" s="12"/>
      <c r="AF139" s="6"/>
      <c r="AG139" s="6"/>
      <c r="AH139" s="12"/>
      <c r="AI139" s="6"/>
      <c r="AJ139" s="12"/>
      <c r="AK139" s="12"/>
      <c r="AL139" s="12"/>
      <c r="AM139" s="12"/>
      <c r="AN139" s="6"/>
      <c r="AO139" s="6"/>
      <c r="AP139" s="100"/>
      <c r="AQ139" s="218"/>
      <c r="AR139" s="100"/>
      <c r="AS139" s="100"/>
      <c r="AT139" s="6"/>
      <c r="AU139" s="6"/>
      <c r="AV139" s="6"/>
      <c r="AW139" s="6"/>
      <c r="AX139" s="12"/>
      <c r="AY139" s="6"/>
      <c r="AZ139" s="6"/>
      <c r="BA139" s="6"/>
      <c r="BB139" s="12"/>
      <c r="BC139" s="6"/>
      <c r="BD139" s="6"/>
      <c r="BE139" s="6"/>
      <c r="BF139" s="12"/>
      <c r="BG139" s="12"/>
      <c r="BH139" s="23"/>
      <c r="BI139" s="23"/>
      <c r="BJ139" s="23"/>
    </row>
    <row r="140" spans="1:62">
      <c r="A140" s="22"/>
      <c r="B140" s="6"/>
      <c r="C140" s="158"/>
      <c r="D140" s="227"/>
      <c r="E140" s="12"/>
      <c r="F140" s="6"/>
      <c r="G140" s="6"/>
      <c r="H140" s="6"/>
      <c r="I140" s="6"/>
      <c r="J140" s="203"/>
      <c r="K140" s="203"/>
      <c r="L140" s="203"/>
      <c r="M140" s="204"/>
      <c r="N140" s="204"/>
      <c r="O140" s="196"/>
      <c r="P140" s="6"/>
      <c r="Q140" s="12"/>
      <c r="R140" s="96"/>
      <c r="S140" s="202"/>
      <c r="T140" s="12"/>
      <c r="U140" s="12"/>
      <c r="V140" s="6"/>
      <c r="W140" s="6"/>
      <c r="X140" s="6"/>
      <c r="Y140" s="6"/>
      <c r="Z140" s="6"/>
      <c r="AA140" s="6"/>
      <c r="AB140" s="6"/>
      <c r="AC140" s="6"/>
      <c r="AD140" s="6"/>
      <c r="AE140" s="12"/>
      <c r="AF140" s="6"/>
      <c r="AG140" s="6"/>
      <c r="AH140" s="12"/>
      <c r="AI140" s="6"/>
      <c r="AJ140" s="12"/>
      <c r="AK140" s="12"/>
      <c r="AL140" s="12"/>
      <c r="AM140" s="12"/>
      <c r="AN140" s="6"/>
      <c r="AO140" s="6"/>
      <c r="AP140" s="100"/>
      <c r="AQ140" s="218"/>
      <c r="AR140" s="100"/>
      <c r="AS140" s="100"/>
      <c r="AT140" s="6"/>
      <c r="AU140" s="6"/>
      <c r="AV140" s="6"/>
      <c r="AW140" s="6"/>
      <c r="AX140" s="12"/>
      <c r="AY140" s="6"/>
      <c r="AZ140" s="6"/>
      <c r="BA140" s="6"/>
      <c r="BB140" s="12"/>
      <c r="BC140" s="6"/>
      <c r="BD140" s="6"/>
      <c r="BE140" s="6"/>
      <c r="BF140" s="12"/>
      <c r="BG140" s="12"/>
      <c r="BH140" s="23"/>
      <c r="BI140" s="23"/>
      <c r="BJ140" s="23"/>
    </row>
    <row r="141" spans="1:62">
      <c r="A141" s="22"/>
      <c r="B141" s="6"/>
      <c r="C141" s="100"/>
      <c r="D141" s="227"/>
      <c r="E141" s="12"/>
      <c r="F141" s="6"/>
      <c r="G141" s="6"/>
      <c r="H141" s="6"/>
      <c r="I141" s="6"/>
      <c r="J141" s="203"/>
      <c r="K141" s="203"/>
      <c r="L141" s="203"/>
      <c r="M141" s="204"/>
      <c r="N141" s="204"/>
      <c r="O141" s="196"/>
      <c r="P141" s="6"/>
      <c r="Q141" s="12"/>
      <c r="R141" s="96"/>
      <c r="S141" s="202"/>
      <c r="T141" s="12"/>
      <c r="U141" s="12"/>
      <c r="V141" s="6"/>
      <c r="W141" s="6"/>
      <c r="X141" s="6"/>
      <c r="Y141" s="6"/>
      <c r="Z141" s="6"/>
      <c r="AA141" s="6"/>
      <c r="AB141" s="6"/>
      <c r="AC141" s="6"/>
      <c r="AD141" s="6"/>
      <c r="AE141" s="12"/>
      <c r="AF141" s="6"/>
      <c r="AG141" s="6"/>
      <c r="AH141" s="12"/>
      <c r="AI141" s="6"/>
      <c r="AJ141" s="12"/>
      <c r="AK141" s="12"/>
      <c r="AL141" s="12"/>
      <c r="AM141" s="12"/>
      <c r="AN141" s="6"/>
      <c r="AO141" s="6"/>
      <c r="AP141" s="100"/>
      <c r="AQ141" s="218"/>
      <c r="AR141" s="100"/>
      <c r="AS141" s="100"/>
      <c r="AT141" s="6"/>
      <c r="AU141" s="6"/>
      <c r="AV141" s="6"/>
      <c r="AW141" s="6"/>
      <c r="AX141" s="12"/>
      <c r="AY141" s="6"/>
      <c r="AZ141" s="6"/>
      <c r="BA141" s="6"/>
      <c r="BB141" s="12"/>
      <c r="BC141" s="6"/>
      <c r="BD141" s="6"/>
      <c r="BE141" s="6"/>
      <c r="BF141" s="12"/>
      <c r="BG141" s="12"/>
      <c r="BH141" s="23"/>
      <c r="BI141" s="23"/>
      <c r="BJ141" s="23"/>
    </row>
    <row r="142" spans="1:62">
      <c r="A142" s="22"/>
      <c r="B142" s="6"/>
      <c r="C142" s="100"/>
      <c r="D142" s="227"/>
      <c r="E142" s="12"/>
      <c r="F142" s="6"/>
      <c r="G142" s="6"/>
      <c r="H142" s="6"/>
      <c r="I142" s="6"/>
      <c r="J142" s="203"/>
      <c r="K142" s="203"/>
      <c r="L142" s="203"/>
      <c r="M142" s="204"/>
      <c r="N142" s="204"/>
      <c r="O142" s="196"/>
      <c r="P142" s="6"/>
      <c r="Q142" s="12"/>
      <c r="R142" s="96"/>
      <c r="S142" s="202"/>
      <c r="T142" s="12"/>
      <c r="U142" s="12"/>
      <c r="V142" s="6"/>
      <c r="W142" s="6"/>
      <c r="X142" s="6"/>
      <c r="Y142" s="6"/>
      <c r="Z142" s="6"/>
      <c r="AA142" s="6"/>
      <c r="AB142" s="6"/>
      <c r="AC142" s="6"/>
      <c r="AD142" s="6"/>
      <c r="AE142" s="12"/>
      <c r="AF142" s="6"/>
      <c r="AG142" s="6"/>
      <c r="AH142" s="12"/>
      <c r="AI142" s="6"/>
      <c r="AJ142" s="12"/>
      <c r="AK142" s="12"/>
      <c r="AL142" s="12"/>
      <c r="AM142" s="12"/>
      <c r="AN142" s="6"/>
      <c r="AO142" s="6"/>
      <c r="AP142" s="100"/>
      <c r="AQ142" s="218"/>
      <c r="AR142" s="100"/>
      <c r="AS142" s="100"/>
      <c r="AT142" s="6"/>
      <c r="AU142" s="6"/>
      <c r="AV142" s="6"/>
      <c r="AW142" s="6"/>
      <c r="AX142" s="12"/>
      <c r="AY142" s="6"/>
      <c r="AZ142" s="6"/>
      <c r="BA142" s="6"/>
      <c r="BB142" s="12"/>
      <c r="BC142" s="6"/>
      <c r="BD142" s="6"/>
      <c r="BE142" s="6"/>
      <c r="BF142" s="12"/>
      <c r="BG142" s="12"/>
      <c r="BH142" s="23"/>
      <c r="BI142" s="23"/>
      <c r="BJ142" s="23"/>
    </row>
    <row r="143" spans="1:62">
      <c r="A143" s="22"/>
      <c r="B143" s="23"/>
      <c r="C143" s="153"/>
      <c r="D143" s="23"/>
      <c r="E143" s="23"/>
      <c r="F143" s="23"/>
      <c r="G143" s="23"/>
      <c r="H143" s="23"/>
      <c r="I143" s="23"/>
      <c r="J143" s="24"/>
      <c r="K143" s="22"/>
      <c r="L143" s="23"/>
      <c r="M143" s="23"/>
      <c r="N143" s="23"/>
      <c r="O143" s="23"/>
      <c r="P143" s="23"/>
      <c r="Q143" s="23"/>
      <c r="R143" s="23"/>
      <c r="S143" s="23"/>
      <c r="T143" s="24"/>
      <c r="U143" s="22"/>
      <c r="V143" s="23"/>
      <c r="W143" s="23"/>
      <c r="X143" s="23"/>
      <c r="Y143" s="23"/>
      <c r="Z143" s="23"/>
      <c r="AA143" s="23"/>
      <c r="AB143" s="23"/>
      <c r="AC143" s="23"/>
      <c r="AD143" s="24"/>
      <c r="AE143" s="22"/>
      <c r="AF143" s="23"/>
      <c r="AG143" s="23"/>
      <c r="AH143" s="23"/>
      <c r="AI143" s="23"/>
      <c r="AJ143" s="23"/>
      <c r="AK143" s="23"/>
      <c r="AL143" s="23"/>
      <c r="AM143" s="23"/>
      <c r="AN143" s="24"/>
      <c r="AO143" s="22"/>
      <c r="AP143" s="23"/>
      <c r="AQ143" s="23"/>
      <c r="AR143" s="23"/>
      <c r="AS143" s="23"/>
      <c r="AT143" s="23"/>
      <c r="AU143" s="23"/>
      <c r="AV143" s="23"/>
      <c r="AW143" s="23"/>
      <c r="AX143" s="24"/>
      <c r="AY143" s="24"/>
      <c r="AZ143" s="23"/>
      <c r="BA143" s="23"/>
      <c r="BB143" s="23"/>
      <c r="BC143" s="23"/>
      <c r="BD143" s="23"/>
      <c r="BE143" s="23"/>
      <c r="BF143" s="23"/>
      <c r="BG143" s="23"/>
      <c r="BH143" s="23"/>
      <c r="BI143" s="23"/>
      <c r="BJ143" s="23"/>
    </row>
    <row r="144" spans="1:62">
      <c r="A144" s="22"/>
      <c r="B144" s="23"/>
      <c r="C144" s="153"/>
      <c r="D144" s="23"/>
      <c r="E144" s="23"/>
      <c r="F144" s="23"/>
      <c r="G144" s="23"/>
      <c r="H144" s="23"/>
      <c r="I144" s="23"/>
      <c r="J144" s="24"/>
      <c r="K144" s="22"/>
      <c r="L144" s="23"/>
      <c r="M144" s="23"/>
      <c r="N144" s="23"/>
      <c r="O144" s="23"/>
      <c r="P144" s="23"/>
      <c r="Q144" s="23"/>
      <c r="R144" s="23"/>
      <c r="S144" s="23"/>
      <c r="T144" s="24"/>
      <c r="U144" s="22"/>
      <c r="V144" s="23"/>
      <c r="W144" s="23"/>
      <c r="X144" s="23"/>
      <c r="Y144" s="23"/>
      <c r="Z144" s="23"/>
      <c r="AA144" s="23"/>
      <c r="AB144" s="23"/>
      <c r="AC144" s="23"/>
      <c r="AD144" s="24"/>
      <c r="AE144" s="22"/>
      <c r="AF144" s="23"/>
      <c r="AG144" s="23"/>
      <c r="AH144" s="23"/>
      <c r="AI144" s="23"/>
      <c r="AJ144" s="23"/>
      <c r="AK144" s="23"/>
      <c r="AL144" s="23"/>
      <c r="AM144" s="23"/>
      <c r="AN144" s="24"/>
      <c r="AO144" s="22"/>
      <c r="AP144" s="23"/>
      <c r="AQ144" s="23"/>
      <c r="AR144" s="23"/>
      <c r="AS144" s="23"/>
      <c r="AT144" s="23"/>
      <c r="AU144" s="23"/>
      <c r="AV144" s="23"/>
      <c r="AW144" s="23"/>
      <c r="AX144" s="24"/>
      <c r="AY144" s="24"/>
      <c r="AZ144" s="23"/>
      <c r="BA144" s="23"/>
      <c r="BB144" s="23"/>
      <c r="BC144" s="23"/>
      <c r="BD144" s="23"/>
      <c r="BE144" s="23"/>
      <c r="BF144" s="23"/>
      <c r="BG144" s="23"/>
      <c r="BH144" s="23"/>
      <c r="BI144" s="23"/>
      <c r="BJ144" s="23"/>
    </row>
    <row r="145" spans="1:62">
      <c r="A145" s="22"/>
      <c r="B145" s="23"/>
      <c r="C145" s="153"/>
      <c r="D145" s="23"/>
      <c r="E145" s="23"/>
      <c r="F145" s="23"/>
      <c r="G145" s="23"/>
      <c r="H145" s="23"/>
      <c r="I145" s="23"/>
      <c r="J145" s="24"/>
      <c r="K145" s="22"/>
      <c r="L145" s="23"/>
      <c r="M145" s="23"/>
      <c r="N145" s="23"/>
      <c r="O145" s="23"/>
      <c r="P145" s="23"/>
      <c r="Q145" s="23"/>
      <c r="R145" s="23"/>
      <c r="S145" s="23"/>
      <c r="T145" s="24"/>
      <c r="U145" s="22"/>
      <c r="V145" s="23"/>
      <c r="W145" s="23"/>
      <c r="X145" s="23"/>
      <c r="Y145" s="23"/>
      <c r="Z145" s="23"/>
      <c r="AA145" s="23"/>
      <c r="AB145" s="23"/>
      <c r="AC145" s="23"/>
      <c r="AD145" s="24"/>
      <c r="AE145" s="22"/>
      <c r="AF145" s="23"/>
      <c r="AG145" s="23"/>
      <c r="AH145" s="23"/>
      <c r="AI145" s="23"/>
      <c r="AJ145" s="23"/>
      <c r="AK145" s="23"/>
      <c r="AL145" s="23"/>
      <c r="AM145" s="23"/>
      <c r="AN145" s="24"/>
      <c r="AO145" s="22"/>
      <c r="AP145" s="23"/>
      <c r="AQ145" s="23"/>
      <c r="AR145" s="23"/>
      <c r="AS145" s="23"/>
      <c r="AT145" s="23"/>
      <c r="AU145" s="23"/>
      <c r="AV145" s="23"/>
      <c r="AW145" s="23"/>
      <c r="AX145" s="24"/>
      <c r="AY145" s="24"/>
      <c r="AZ145" s="23"/>
      <c r="BA145" s="23"/>
      <c r="BB145" s="23"/>
      <c r="BC145" s="23"/>
      <c r="BD145" s="23"/>
      <c r="BE145" s="23"/>
      <c r="BF145" s="23"/>
      <c r="BG145" s="23"/>
      <c r="BH145" s="23"/>
      <c r="BI145" s="23"/>
      <c r="BJ145" s="23"/>
    </row>
    <row r="146" spans="1:62">
      <c r="A146" s="22"/>
      <c r="B146" s="23"/>
      <c r="C146" s="153"/>
      <c r="D146" s="23"/>
      <c r="E146" s="23"/>
      <c r="F146" s="23"/>
      <c r="G146" s="23"/>
      <c r="H146" s="23"/>
      <c r="I146" s="23"/>
      <c r="J146" s="24"/>
      <c r="K146" s="22"/>
      <c r="L146" s="23"/>
      <c r="M146" s="23"/>
      <c r="N146" s="23"/>
      <c r="O146" s="23"/>
      <c r="P146" s="23"/>
      <c r="Q146" s="23"/>
      <c r="R146" s="23"/>
      <c r="S146" s="23"/>
      <c r="T146" s="24"/>
      <c r="U146" s="22"/>
      <c r="V146" s="23"/>
      <c r="W146" s="23"/>
      <c r="X146" s="23"/>
      <c r="Y146" s="23"/>
      <c r="Z146" s="23"/>
      <c r="AA146" s="23"/>
      <c r="AB146" s="23"/>
      <c r="AC146" s="23"/>
      <c r="AD146" s="24"/>
      <c r="AE146" s="22"/>
      <c r="AF146" s="23"/>
      <c r="AG146" s="23"/>
      <c r="AH146" s="23"/>
      <c r="AI146" s="23"/>
      <c r="AJ146" s="23"/>
      <c r="AK146" s="23"/>
      <c r="AL146" s="23"/>
      <c r="AM146" s="23"/>
      <c r="AN146" s="24"/>
      <c r="AO146" s="22"/>
      <c r="AP146" s="23"/>
      <c r="AQ146" s="23"/>
      <c r="AR146" s="23"/>
      <c r="AS146" s="23"/>
      <c r="AT146" s="23"/>
      <c r="AU146" s="23"/>
      <c r="AV146" s="23"/>
      <c r="AW146" s="23"/>
      <c r="AX146" s="24"/>
      <c r="AY146" s="24"/>
      <c r="AZ146" s="23"/>
      <c r="BA146" s="23"/>
      <c r="BB146" s="23"/>
      <c r="BC146" s="23"/>
      <c r="BD146" s="23"/>
      <c r="BE146" s="23"/>
      <c r="BF146" s="23"/>
      <c r="BG146" s="23"/>
      <c r="BH146" s="23"/>
      <c r="BI146" s="23"/>
      <c r="BJ146" s="23"/>
    </row>
    <row r="147" spans="1:62">
      <c r="A147" s="22"/>
      <c r="B147" s="23"/>
      <c r="C147" s="153"/>
      <c r="D147" s="23"/>
      <c r="E147" s="23"/>
      <c r="F147" s="23"/>
      <c r="G147" s="23"/>
      <c r="H147" s="23"/>
      <c r="I147" s="23"/>
      <c r="J147" s="24"/>
      <c r="K147" s="22"/>
      <c r="L147" s="23"/>
      <c r="M147" s="23"/>
      <c r="N147" s="23"/>
      <c r="O147" s="23"/>
      <c r="P147" s="23"/>
      <c r="Q147" s="23"/>
      <c r="R147" s="23"/>
      <c r="S147" s="23"/>
      <c r="T147" s="24"/>
      <c r="U147" s="22"/>
      <c r="V147" s="23"/>
      <c r="W147" s="23"/>
      <c r="X147" s="23"/>
      <c r="Y147" s="23"/>
      <c r="Z147" s="23"/>
      <c r="AA147" s="23"/>
      <c r="AB147" s="23"/>
      <c r="AC147" s="23"/>
      <c r="AD147" s="24"/>
      <c r="AE147" s="22"/>
      <c r="AF147" s="23"/>
      <c r="AG147" s="23"/>
      <c r="AH147" s="23"/>
      <c r="AI147" s="23"/>
      <c r="AJ147" s="23"/>
      <c r="AK147" s="23"/>
      <c r="AL147" s="23"/>
      <c r="AM147" s="23"/>
      <c r="AN147" s="24"/>
      <c r="AO147" s="22"/>
      <c r="AP147" s="23"/>
      <c r="AQ147" s="23"/>
      <c r="AR147" s="23"/>
      <c r="AS147" s="23"/>
      <c r="AT147" s="23"/>
      <c r="AU147" s="23"/>
      <c r="AV147" s="23"/>
      <c r="AW147" s="23"/>
      <c r="AX147" s="24"/>
      <c r="AY147" s="24"/>
      <c r="AZ147" s="23"/>
      <c r="BA147" s="23"/>
      <c r="BB147" s="23"/>
      <c r="BC147" s="23"/>
      <c r="BD147" s="23"/>
      <c r="BE147" s="23"/>
      <c r="BF147" s="23"/>
      <c r="BG147" s="23"/>
      <c r="BH147" s="23"/>
      <c r="BI147" s="23"/>
      <c r="BJ147" s="23"/>
    </row>
    <row r="148" spans="1:62">
      <c r="A148" s="22"/>
      <c r="B148" s="23"/>
      <c r="C148" s="153"/>
      <c r="D148" s="23"/>
      <c r="E148" s="23"/>
      <c r="F148" s="23"/>
      <c r="G148" s="23"/>
      <c r="H148" s="23"/>
      <c r="I148" s="23"/>
      <c r="J148" s="24"/>
      <c r="K148" s="22"/>
      <c r="L148" s="23"/>
      <c r="M148" s="23"/>
      <c r="N148" s="23"/>
      <c r="O148" s="23"/>
      <c r="P148" s="23"/>
      <c r="Q148" s="23"/>
      <c r="R148" s="23"/>
      <c r="S148" s="23"/>
      <c r="T148" s="24"/>
      <c r="U148" s="22"/>
      <c r="V148" s="23"/>
      <c r="W148" s="23"/>
      <c r="X148" s="23"/>
      <c r="Y148" s="23"/>
      <c r="Z148" s="23"/>
      <c r="AA148" s="23"/>
      <c r="AB148" s="23"/>
      <c r="AC148" s="23"/>
      <c r="AD148" s="24"/>
      <c r="AE148" s="22"/>
      <c r="AF148" s="23"/>
      <c r="AG148" s="23"/>
      <c r="AH148" s="23"/>
      <c r="AI148" s="23"/>
      <c r="AJ148" s="23"/>
      <c r="AK148" s="23"/>
      <c r="AL148" s="23"/>
      <c r="AM148" s="23"/>
      <c r="AN148" s="24"/>
      <c r="AO148" s="22"/>
      <c r="AP148" s="23"/>
      <c r="AQ148" s="23"/>
      <c r="AR148" s="23"/>
      <c r="AS148" s="23"/>
      <c r="AT148" s="23"/>
      <c r="AU148" s="23"/>
      <c r="AV148" s="23"/>
      <c r="AW148" s="23"/>
      <c r="AX148" s="24"/>
      <c r="AY148" s="24"/>
      <c r="AZ148" s="23"/>
      <c r="BA148" s="23"/>
      <c r="BB148" s="23"/>
      <c r="BC148" s="23"/>
      <c r="BD148" s="23"/>
      <c r="BE148" s="23"/>
      <c r="BF148" s="23"/>
      <c r="BG148" s="23"/>
      <c r="BH148" s="23"/>
      <c r="BI148" s="23"/>
      <c r="BJ148" s="23"/>
    </row>
    <row r="149" spans="1:62">
      <c r="A149" s="22"/>
      <c r="B149" s="23"/>
      <c r="C149" s="153"/>
      <c r="D149" s="23"/>
      <c r="E149" s="23"/>
      <c r="F149" s="23"/>
      <c r="G149" s="23"/>
      <c r="H149" s="23"/>
      <c r="I149" s="23"/>
      <c r="J149" s="24"/>
      <c r="K149" s="22"/>
      <c r="L149" s="23"/>
      <c r="M149" s="23"/>
      <c r="N149" s="23"/>
      <c r="O149" s="23"/>
      <c r="P149" s="23"/>
      <c r="Q149" s="23"/>
      <c r="R149" s="23"/>
      <c r="S149" s="23"/>
      <c r="T149" s="24"/>
      <c r="U149" s="22"/>
      <c r="V149" s="23"/>
      <c r="W149" s="23"/>
      <c r="X149" s="23"/>
      <c r="Y149" s="23"/>
      <c r="Z149" s="23"/>
      <c r="AA149" s="23"/>
      <c r="AB149" s="23"/>
      <c r="AC149" s="23"/>
      <c r="AD149" s="24"/>
      <c r="AE149" s="22"/>
      <c r="AF149" s="23"/>
      <c r="AG149" s="23"/>
      <c r="AH149" s="23"/>
      <c r="AI149" s="23"/>
      <c r="AJ149" s="23"/>
      <c r="AK149" s="23"/>
      <c r="AL149" s="23"/>
      <c r="AM149" s="23"/>
      <c r="AN149" s="24"/>
      <c r="AO149" s="22"/>
      <c r="AP149" s="23"/>
      <c r="AQ149" s="23"/>
      <c r="AR149" s="23"/>
      <c r="AS149" s="23"/>
      <c r="AT149" s="23"/>
      <c r="AU149" s="23"/>
      <c r="AV149" s="23"/>
      <c r="AW149" s="23"/>
      <c r="AX149" s="24"/>
      <c r="AY149" s="24"/>
      <c r="AZ149" s="23"/>
      <c r="BA149" s="23"/>
      <c r="BB149" s="23"/>
      <c r="BC149" s="23"/>
      <c r="BD149" s="23"/>
      <c r="BE149" s="23"/>
      <c r="BF149" s="23"/>
      <c r="BG149" s="23"/>
      <c r="BH149" s="23"/>
      <c r="BI149" s="23"/>
      <c r="BJ149" s="23"/>
    </row>
    <row r="150" spans="1:62">
      <c r="A150" s="22"/>
      <c r="B150" s="23"/>
      <c r="C150" s="153"/>
      <c r="D150" s="23"/>
      <c r="E150" s="23"/>
      <c r="F150" s="23"/>
      <c r="G150" s="23"/>
      <c r="H150" s="23"/>
      <c r="I150" s="23"/>
      <c r="J150" s="24"/>
      <c r="K150" s="22"/>
      <c r="L150" s="23"/>
      <c r="M150" s="23"/>
      <c r="N150" s="23"/>
      <c r="O150" s="23"/>
      <c r="P150" s="23"/>
      <c r="Q150" s="23"/>
      <c r="R150" s="23"/>
      <c r="S150" s="23"/>
      <c r="T150" s="24"/>
      <c r="U150" s="22"/>
      <c r="V150" s="23"/>
      <c r="W150" s="23"/>
      <c r="X150" s="23"/>
      <c r="Y150" s="23"/>
      <c r="Z150" s="23"/>
      <c r="AA150" s="23"/>
      <c r="AB150" s="23"/>
      <c r="AC150" s="23"/>
      <c r="AD150" s="24"/>
      <c r="AE150" s="22"/>
      <c r="AF150" s="23"/>
      <c r="AG150" s="23"/>
      <c r="AH150" s="23"/>
      <c r="AI150" s="23"/>
      <c r="AJ150" s="23"/>
      <c r="AK150" s="23"/>
      <c r="AL150" s="23"/>
      <c r="AM150" s="23"/>
      <c r="AN150" s="24"/>
      <c r="AO150" s="22"/>
      <c r="AP150" s="23"/>
      <c r="AQ150" s="23"/>
      <c r="AR150" s="23"/>
      <c r="AS150" s="23"/>
      <c r="AT150" s="23"/>
      <c r="AU150" s="23"/>
      <c r="AV150" s="23"/>
      <c r="AW150" s="23"/>
      <c r="AX150" s="24"/>
      <c r="AY150" s="24"/>
      <c r="AZ150" s="23"/>
      <c r="BA150" s="23"/>
      <c r="BB150" s="23"/>
      <c r="BC150" s="23"/>
      <c r="BD150" s="23"/>
      <c r="BE150" s="23"/>
      <c r="BF150" s="23"/>
      <c r="BG150" s="23"/>
      <c r="BH150" s="23"/>
      <c r="BI150" s="23"/>
      <c r="BJ150" s="23"/>
    </row>
    <row r="151" spans="1:62">
      <c r="A151" s="22"/>
      <c r="B151" s="23"/>
      <c r="C151" s="153"/>
      <c r="D151" s="23"/>
      <c r="E151" s="23"/>
      <c r="F151" s="23"/>
      <c r="G151" s="23"/>
      <c r="H151" s="23"/>
      <c r="I151" s="23"/>
      <c r="J151" s="24"/>
      <c r="K151" s="22"/>
      <c r="L151" s="23"/>
      <c r="M151" s="23"/>
      <c r="N151" s="23"/>
      <c r="O151" s="23"/>
      <c r="P151" s="23"/>
      <c r="Q151" s="23"/>
      <c r="R151" s="23"/>
      <c r="S151" s="23"/>
      <c r="T151" s="24"/>
      <c r="U151" s="22"/>
      <c r="V151" s="23"/>
      <c r="W151" s="23"/>
      <c r="X151" s="23"/>
      <c r="Y151" s="23"/>
      <c r="Z151" s="23"/>
      <c r="AA151" s="23"/>
      <c r="AB151" s="23"/>
      <c r="AC151" s="23"/>
      <c r="AD151" s="24"/>
      <c r="AE151" s="22"/>
      <c r="AF151" s="23"/>
      <c r="AG151" s="23"/>
      <c r="AH151" s="23"/>
      <c r="AI151" s="23"/>
      <c r="AJ151" s="23"/>
      <c r="AK151" s="23"/>
      <c r="AL151" s="23"/>
      <c r="AM151" s="23"/>
      <c r="AN151" s="24"/>
      <c r="AO151" s="22"/>
      <c r="AP151" s="23"/>
      <c r="AQ151" s="23"/>
      <c r="AR151" s="23"/>
      <c r="AS151" s="23"/>
      <c r="AT151" s="23"/>
      <c r="AU151" s="23"/>
      <c r="AV151" s="23"/>
      <c r="AW151" s="23"/>
      <c r="AX151" s="24"/>
      <c r="AY151" s="24"/>
      <c r="AZ151" s="23"/>
      <c r="BA151" s="23"/>
      <c r="BB151" s="23"/>
      <c r="BC151" s="23"/>
      <c r="BD151" s="23"/>
      <c r="BE151" s="23"/>
      <c r="BF151" s="23"/>
      <c r="BG151" s="23"/>
      <c r="BH151" s="23"/>
      <c r="BI151" s="23"/>
      <c r="BJ151" s="23"/>
    </row>
    <row r="152" spans="1:62">
      <c r="A152" s="22"/>
      <c r="B152" s="23"/>
      <c r="C152" s="153"/>
      <c r="D152" s="23"/>
      <c r="E152" s="23"/>
      <c r="F152" s="23"/>
      <c r="G152" s="23"/>
      <c r="H152" s="23"/>
      <c r="I152" s="23"/>
      <c r="J152" s="24"/>
      <c r="K152" s="22"/>
      <c r="L152" s="23"/>
      <c r="M152" s="23"/>
      <c r="N152" s="23"/>
      <c r="O152" s="23"/>
      <c r="P152" s="23"/>
      <c r="Q152" s="23"/>
      <c r="R152" s="23"/>
      <c r="S152" s="23"/>
      <c r="T152" s="24"/>
      <c r="U152" s="22"/>
      <c r="V152" s="23"/>
      <c r="W152" s="23"/>
      <c r="X152" s="23"/>
      <c r="Y152" s="23"/>
      <c r="Z152" s="23"/>
      <c r="AA152" s="23"/>
      <c r="AB152" s="23"/>
      <c r="AC152" s="23"/>
      <c r="AD152" s="24"/>
      <c r="AE152" s="22"/>
      <c r="AF152" s="23"/>
      <c r="AG152" s="23"/>
      <c r="AH152" s="23"/>
      <c r="AI152" s="23"/>
      <c r="AJ152" s="23"/>
      <c r="AK152" s="23"/>
      <c r="AL152" s="23"/>
      <c r="AM152" s="23"/>
      <c r="AN152" s="24"/>
      <c r="AO152" s="22"/>
      <c r="AP152" s="23"/>
      <c r="AQ152" s="23"/>
      <c r="AR152" s="23"/>
      <c r="AS152" s="23"/>
      <c r="AT152" s="23"/>
      <c r="AU152" s="23"/>
      <c r="AV152" s="23"/>
      <c r="AW152" s="23"/>
      <c r="AX152" s="24"/>
      <c r="AY152" s="24"/>
      <c r="AZ152" s="23"/>
      <c r="BA152" s="23"/>
      <c r="BB152" s="23"/>
      <c r="BC152" s="23"/>
      <c r="BD152" s="23"/>
      <c r="BE152" s="23"/>
      <c r="BF152" s="23"/>
      <c r="BG152" s="23"/>
      <c r="BH152" s="23"/>
      <c r="BI152" s="23"/>
      <c r="BJ152" s="23"/>
    </row>
    <row r="153" spans="1:62">
      <c r="A153" s="22"/>
      <c r="B153" s="23"/>
      <c r="C153" s="153"/>
      <c r="D153" s="23"/>
      <c r="E153" s="23"/>
      <c r="F153" s="23"/>
      <c r="G153" s="23"/>
      <c r="H153" s="23"/>
      <c r="I153" s="23"/>
      <c r="J153" s="24"/>
      <c r="K153" s="22"/>
      <c r="L153" s="23"/>
      <c r="M153" s="23"/>
      <c r="N153" s="23"/>
      <c r="O153" s="23"/>
      <c r="P153" s="23"/>
      <c r="Q153" s="23"/>
      <c r="R153" s="23"/>
      <c r="S153" s="23"/>
      <c r="T153" s="24"/>
      <c r="U153" s="22"/>
      <c r="V153" s="23"/>
      <c r="W153" s="23"/>
      <c r="X153" s="23"/>
      <c r="Y153" s="23"/>
      <c r="Z153" s="23"/>
      <c r="AA153" s="23"/>
      <c r="AB153" s="23"/>
      <c r="AC153" s="23"/>
      <c r="AD153" s="24"/>
      <c r="AE153" s="22"/>
      <c r="AF153" s="23"/>
      <c r="AG153" s="23"/>
      <c r="AH153" s="23"/>
      <c r="AI153" s="23"/>
      <c r="AJ153" s="23"/>
      <c r="AK153" s="23"/>
      <c r="AL153" s="23"/>
      <c r="AM153" s="23"/>
      <c r="AN153" s="24"/>
      <c r="AO153" s="22"/>
      <c r="AP153" s="23"/>
      <c r="AQ153" s="23"/>
      <c r="AR153" s="23"/>
      <c r="AS153" s="23"/>
      <c r="AT153" s="23"/>
      <c r="AU153" s="23"/>
      <c r="AV153" s="23"/>
      <c r="AW153" s="23"/>
      <c r="AX153" s="24"/>
      <c r="AY153" s="24"/>
      <c r="AZ153" s="23"/>
      <c r="BA153" s="23"/>
      <c r="BB153" s="23"/>
      <c r="BC153" s="23"/>
      <c r="BD153" s="23"/>
      <c r="BE153" s="23"/>
      <c r="BF153" s="23"/>
      <c r="BG153" s="23"/>
      <c r="BH153" s="23"/>
      <c r="BI153" s="23"/>
      <c r="BJ153" s="23"/>
    </row>
    <row r="154" spans="1:62">
      <c r="A154" s="22"/>
      <c r="B154" s="23"/>
      <c r="C154" s="153"/>
      <c r="D154" s="23"/>
      <c r="E154" s="23"/>
      <c r="F154" s="23"/>
      <c r="G154" s="23"/>
      <c r="H154" s="23"/>
      <c r="I154" s="23"/>
      <c r="J154" s="24"/>
      <c r="K154" s="22"/>
      <c r="L154" s="23"/>
      <c r="M154" s="23"/>
      <c r="N154" s="23"/>
      <c r="O154" s="23"/>
      <c r="P154" s="23"/>
      <c r="Q154" s="23"/>
      <c r="R154" s="23"/>
      <c r="S154" s="23"/>
      <c r="T154" s="24"/>
      <c r="U154" s="22"/>
      <c r="V154" s="23"/>
      <c r="W154" s="23"/>
      <c r="X154" s="23"/>
      <c r="Y154" s="23"/>
      <c r="Z154" s="23"/>
      <c r="AA154" s="23"/>
      <c r="AB154" s="23"/>
      <c r="AC154" s="23"/>
      <c r="AD154" s="24"/>
      <c r="AE154" s="22"/>
      <c r="AF154" s="23"/>
      <c r="AG154" s="23"/>
      <c r="AH154" s="23"/>
      <c r="AI154" s="23"/>
      <c r="AJ154" s="23"/>
      <c r="AK154" s="23"/>
      <c r="AL154" s="23"/>
      <c r="AM154" s="23"/>
      <c r="AN154" s="24"/>
      <c r="AO154" s="22"/>
      <c r="AP154" s="23"/>
      <c r="AQ154" s="23"/>
      <c r="AR154" s="23"/>
      <c r="AS154" s="23"/>
      <c r="AT154" s="23"/>
      <c r="AU154" s="23"/>
      <c r="AV154" s="23"/>
      <c r="AW154" s="23"/>
      <c r="AX154" s="24"/>
      <c r="AY154" s="24"/>
      <c r="AZ154" s="23"/>
      <c r="BA154" s="23"/>
      <c r="BB154" s="23"/>
      <c r="BC154" s="23"/>
      <c r="BD154" s="23"/>
      <c r="BE154" s="23"/>
      <c r="BF154" s="23"/>
      <c r="BG154" s="23"/>
      <c r="BH154" s="23"/>
      <c r="BI154" s="23"/>
      <c r="BJ154" s="23"/>
    </row>
    <row r="155" spans="1:62">
      <c r="A155" s="22"/>
      <c r="B155" s="23"/>
      <c r="C155" s="153"/>
      <c r="D155" s="23"/>
      <c r="E155" s="23"/>
      <c r="F155" s="23"/>
      <c r="G155" s="23"/>
      <c r="H155" s="23"/>
      <c r="I155" s="23"/>
      <c r="J155" s="24"/>
      <c r="K155" s="22"/>
      <c r="L155" s="23"/>
      <c r="M155" s="23"/>
      <c r="N155" s="23"/>
      <c r="O155" s="23"/>
      <c r="P155" s="23"/>
      <c r="Q155" s="23"/>
      <c r="R155" s="23"/>
      <c r="S155" s="23"/>
      <c r="T155" s="24"/>
      <c r="U155" s="22"/>
      <c r="V155" s="23"/>
      <c r="W155" s="23"/>
      <c r="X155" s="23"/>
      <c r="Y155" s="23"/>
      <c r="Z155" s="23"/>
      <c r="AA155" s="23"/>
      <c r="AB155" s="23"/>
      <c r="AC155" s="23"/>
      <c r="AD155" s="24"/>
      <c r="AE155" s="22"/>
      <c r="AF155" s="23"/>
      <c r="AG155" s="23"/>
      <c r="AH155" s="23"/>
      <c r="AI155" s="23"/>
      <c r="AJ155" s="23"/>
      <c r="AK155" s="23"/>
      <c r="AL155" s="23"/>
      <c r="AM155" s="23"/>
      <c r="AN155" s="24"/>
      <c r="AO155" s="22"/>
      <c r="AP155" s="23"/>
      <c r="AQ155" s="23"/>
      <c r="AR155" s="23"/>
      <c r="AS155" s="23"/>
      <c r="AT155" s="23"/>
      <c r="AU155" s="23"/>
      <c r="AV155" s="23"/>
      <c r="AW155" s="23"/>
      <c r="AX155" s="24"/>
      <c r="AY155" s="24"/>
      <c r="AZ155" s="23"/>
      <c r="BA155" s="23"/>
      <c r="BB155" s="23"/>
      <c r="BC155" s="23"/>
      <c r="BD155" s="23"/>
      <c r="BE155" s="23"/>
      <c r="BF155" s="23"/>
      <c r="BG155" s="23"/>
      <c r="BH155" s="23"/>
      <c r="BI155" s="23"/>
      <c r="BJ155" s="23"/>
    </row>
    <row r="156" spans="1:62">
      <c r="A156" s="22"/>
      <c r="B156" s="23"/>
      <c r="C156" s="153"/>
      <c r="D156" s="23"/>
      <c r="E156" s="23"/>
      <c r="F156" s="23"/>
      <c r="G156" s="23"/>
      <c r="H156" s="23"/>
      <c r="I156" s="23"/>
      <c r="J156" s="24"/>
      <c r="K156" s="22"/>
      <c r="L156" s="23"/>
      <c r="M156" s="23"/>
      <c r="N156" s="23"/>
      <c r="O156" s="23"/>
      <c r="P156" s="23"/>
      <c r="Q156" s="23"/>
      <c r="R156" s="23"/>
      <c r="S156" s="23"/>
      <c r="T156" s="24"/>
      <c r="U156" s="22"/>
      <c r="V156" s="23"/>
      <c r="W156" s="23"/>
      <c r="X156" s="23"/>
      <c r="Y156" s="23"/>
      <c r="Z156" s="23"/>
      <c r="AA156" s="23"/>
      <c r="AB156" s="23"/>
      <c r="AC156" s="23"/>
      <c r="AD156" s="24"/>
      <c r="AE156" s="22"/>
      <c r="AF156" s="23"/>
      <c r="AG156" s="23"/>
      <c r="AH156" s="23"/>
      <c r="AI156" s="23"/>
      <c r="AJ156" s="23"/>
      <c r="AK156" s="23"/>
      <c r="AL156" s="23"/>
      <c r="AM156" s="23"/>
      <c r="AN156" s="24"/>
      <c r="AO156" s="22"/>
      <c r="AP156" s="23"/>
      <c r="AQ156" s="23"/>
      <c r="AR156" s="23"/>
      <c r="AS156" s="23"/>
      <c r="AT156" s="23"/>
      <c r="AU156" s="23"/>
      <c r="AV156" s="23"/>
      <c r="AW156" s="23"/>
      <c r="AX156" s="24"/>
      <c r="AY156" s="24"/>
      <c r="AZ156" s="23"/>
      <c r="BA156" s="23"/>
      <c r="BB156" s="23"/>
      <c r="BC156" s="23"/>
      <c r="BD156" s="23"/>
      <c r="BE156" s="23"/>
      <c r="BF156" s="23"/>
      <c r="BG156" s="23"/>
      <c r="BH156" s="23"/>
      <c r="BI156" s="23"/>
      <c r="BJ156" s="23"/>
    </row>
    <row r="157" spans="1:62">
      <c r="A157" s="22"/>
      <c r="B157" s="23"/>
      <c r="C157" s="153"/>
      <c r="D157" s="23"/>
      <c r="E157" s="23"/>
      <c r="F157" s="23"/>
      <c r="G157" s="23"/>
      <c r="H157" s="23"/>
      <c r="I157" s="23"/>
      <c r="J157" s="24"/>
      <c r="K157" s="22"/>
      <c r="L157" s="23"/>
      <c r="M157" s="23"/>
      <c r="N157" s="23"/>
      <c r="O157" s="23"/>
      <c r="P157" s="23"/>
      <c r="Q157" s="23"/>
      <c r="R157" s="23"/>
      <c r="S157" s="23"/>
      <c r="T157" s="24"/>
      <c r="U157" s="22"/>
      <c r="V157" s="23"/>
      <c r="W157" s="23"/>
      <c r="X157" s="23"/>
      <c r="Y157" s="23"/>
      <c r="Z157" s="23"/>
      <c r="AA157" s="23"/>
      <c r="AB157" s="23"/>
      <c r="AC157" s="23"/>
      <c r="AD157" s="24"/>
      <c r="AE157" s="22"/>
      <c r="AF157" s="23"/>
      <c r="AG157" s="23"/>
      <c r="AH157" s="23"/>
      <c r="AI157" s="23"/>
      <c r="AJ157" s="23"/>
      <c r="AK157" s="23"/>
      <c r="AL157" s="23"/>
      <c r="AM157" s="23"/>
      <c r="AN157" s="24"/>
      <c r="AO157" s="22"/>
      <c r="AP157" s="23"/>
      <c r="AQ157" s="23"/>
      <c r="AR157" s="23"/>
      <c r="AS157" s="23"/>
      <c r="AT157" s="23"/>
      <c r="AU157" s="23"/>
      <c r="AV157" s="23"/>
      <c r="AW157" s="23"/>
      <c r="AX157" s="24"/>
      <c r="AY157" s="24"/>
      <c r="AZ157" s="23"/>
      <c r="BA157" s="23"/>
      <c r="BB157" s="23"/>
      <c r="BC157" s="23"/>
      <c r="BD157" s="23"/>
      <c r="BE157" s="23"/>
      <c r="BF157" s="23"/>
      <c r="BG157" s="23"/>
      <c r="BH157" s="23"/>
      <c r="BI157" s="23"/>
      <c r="BJ157" s="23"/>
    </row>
    <row r="158" spans="1:62">
      <c r="A158" s="22"/>
      <c r="B158" s="23"/>
      <c r="C158" s="153"/>
      <c r="D158" s="23"/>
      <c r="E158" s="23"/>
      <c r="F158" s="23"/>
      <c r="G158" s="23"/>
      <c r="H158" s="23"/>
      <c r="I158" s="23"/>
      <c r="J158" s="24"/>
      <c r="K158" s="22"/>
      <c r="L158" s="23"/>
      <c r="M158" s="23"/>
      <c r="N158" s="23"/>
      <c r="O158" s="23"/>
      <c r="P158" s="23"/>
      <c r="Q158" s="23"/>
      <c r="R158" s="23"/>
      <c r="S158" s="23"/>
      <c r="T158" s="24"/>
      <c r="U158" s="22"/>
      <c r="V158" s="23"/>
      <c r="W158" s="23"/>
      <c r="X158" s="23"/>
      <c r="Y158" s="23"/>
      <c r="Z158" s="23"/>
      <c r="AA158" s="23"/>
      <c r="AB158" s="23"/>
      <c r="AC158" s="23"/>
      <c r="AD158" s="24"/>
      <c r="AE158" s="22"/>
      <c r="AF158" s="23"/>
      <c r="AG158" s="23"/>
      <c r="AH158" s="23"/>
      <c r="AI158" s="23"/>
      <c r="AJ158" s="23"/>
      <c r="AK158" s="23"/>
      <c r="AL158" s="23"/>
      <c r="AM158" s="23"/>
      <c r="AN158" s="24"/>
      <c r="AO158" s="22"/>
      <c r="AP158" s="23"/>
      <c r="AQ158" s="23"/>
      <c r="AR158" s="23"/>
      <c r="AS158" s="23"/>
      <c r="AT158" s="23"/>
      <c r="AU158" s="23"/>
      <c r="AV158" s="23"/>
      <c r="AW158" s="23"/>
      <c r="AX158" s="24"/>
      <c r="AY158" s="24"/>
      <c r="AZ158" s="23"/>
      <c r="BA158" s="23"/>
      <c r="BB158" s="23"/>
      <c r="BC158" s="23"/>
      <c r="BD158" s="23"/>
      <c r="BE158" s="23"/>
      <c r="BF158" s="23"/>
      <c r="BG158" s="23"/>
      <c r="BH158" s="23"/>
      <c r="BI158" s="23"/>
      <c r="BJ158" s="23"/>
    </row>
    <row r="159" spans="1:62">
      <c r="A159" s="22"/>
      <c r="B159" s="23"/>
      <c r="C159" s="153"/>
      <c r="D159" s="23"/>
      <c r="E159" s="23"/>
      <c r="F159" s="23"/>
      <c r="G159" s="23"/>
      <c r="H159" s="23"/>
      <c r="I159" s="23"/>
      <c r="J159" s="24"/>
      <c r="K159" s="22"/>
      <c r="L159" s="23"/>
      <c r="M159" s="23"/>
      <c r="N159" s="23"/>
      <c r="O159" s="23"/>
      <c r="P159" s="23"/>
      <c r="Q159" s="23"/>
      <c r="R159" s="23"/>
      <c r="S159" s="23"/>
      <c r="T159" s="24"/>
      <c r="U159" s="22"/>
      <c r="V159" s="23"/>
      <c r="W159" s="23"/>
      <c r="X159" s="23"/>
      <c r="Y159" s="23"/>
      <c r="Z159" s="23"/>
      <c r="AA159" s="23"/>
      <c r="AB159" s="23"/>
      <c r="AC159" s="23"/>
      <c r="AD159" s="24"/>
      <c r="AE159" s="22"/>
      <c r="AF159" s="23"/>
      <c r="AG159" s="23"/>
      <c r="AH159" s="23"/>
      <c r="AI159" s="23"/>
      <c r="AJ159" s="23"/>
      <c r="AK159" s="23"/>
      <c r="AL159" s="23"/>
      <c r="AM159" s="23"/>
      <c r="AN159" s="24"/>
      <c r="AO159" s="22"/>
      <c r="AP159" s="23"/>
      <c r="AQ159" s="23"/>
      <c r="AR159" s="23"/>
      <c r="AS159" s="23"/>
      <c r="AT159" s="23"/>
      <c r="AU159" s="23"/>
      <c r="AV159" s="23"/>
      <c r="AW159" s="23"/>
      <c r="AX159" s="24"/>
      <c r="AY159" s="24"/>
      <c r="AZ159" s="23"/>
      <c r="BA159" s="23"/>
      <c r="BB159" s="23"/>
      <c r="BC159" s="23"/>
      <c r="BD159" s="23"/>
      <c r="BE159" s="23"/>
      <c r="BF159" s="23"/>
      <c r="BG159" s="23"/>
      <c r="BH159" s="23"/>
      <c r="BI159" s="23"/>
      <c r="BJ159" s="23"/>
    </row>
    <row r="160" spans="1:62">
      <c r="A160" s="22"/>
      <c r="B160" s="23"/>
      <c r="C160" s="153"/>
      <c r="D160" s="23"/>
      <c r="E160" s="23"/>
      <c r="F160" s="23"/>
      <c r="G160" s="23"/>
      <c r="H160" s="23"/>
      <c r="I160" s="23"/>
      <c r="J160" s="24"/>
      <c r="K160" s="22"/>
      <c r="L160" s="23"/>
      <c r="M160" s="23"/>
      <c r="N160" s="23"/>
      <c r="O160" s="23"/>
      <c r="P160" s="23"/>
      <c r="Q160" s="23"/>
      <c r="R160" s="23"/>
      <c r="S160" s="23"/>
      <c r="T160" s="24"/>
      <c r="U160" s="22"/>
      <c r="V160" s="23"/>
      <c r="W160" s="23"/>
      <c r="X160" s="23"/>
      <c r="Y160" s="23"/>
      <c r="Z160" s="23"/>
      <c r="AA160" s="23"/>
      <c r="AB160" s="23"/>
      <c r="AC160" s="23"/>
      <c r="AD160" s="24"/>
      <c r="AE160" s="22"/>
      <c r="AF160" s="23"/>
      <c r="AG160" s="23"/>
      <c r="AH160" s="23"/>
      <c r="AI160" s="23"/>
      <c r="AJ160" s="23"/>
      <c r="AK160" s="23"/>
      <c r="AL160" s="23"/>
      <c r="AM160" s="23"/>
      <c r="AN160" s="24"/>
      <c r="AO160" s="22"/>
      <c r="AP160" s="23"/>
      <c r="AQ160" s="23"/>
      <c r="AR160" s="23"/>
      <c r="AS160" s="23"/>
      <c r="AT160" s="23"/>
      <c r="AU160" s="23"/>
      <c r="AV160" s="23"/>
      <c r="AW160" s="23"/>
      <c r="AX160" s="24"/>
      <c r="AY160" s="24"/>
      <c r="AZ160" s="23"/>
      <c r="BA160" s="23"/>
      <c r="BB160" s="23"/>
      <c r="BC160" s="23"/>
      <c r="BD160" s="23"/>
      <c r="BE160" s="23"/>
      <c r="BF160" s="23"/>
      <c r="BG160" s="23"/>
      <c r="BH160" s="23"/>
      <c r="BI160" s="23"/>
      <c r="BJ160" s="23"/>
    </row>
    <row r="161" spans="1:62">
      <c r="A161" s="22"/>
      <c r="B161" s="23"/>
      <c r="C161" s="153"/>
      <c r="D161" s="23"/>
      <c r="E161" s="23"/>
      <c r="F161" s="23"/>
      <c r="G161" s="23"/>
      <c r="H161" s="23"/>
      <c r="I161" s="23"/>
      <c r="J161" s="24"/>
      <c r="K161" s="22"/>
      <c r="L161" s="23"/>
      <c r="M161" s="23"/>
      <c r="N161" s="23"/>
      <c r="O161" s="23"/>
      <c r="P161" s="23"/>
      <c r="Q161" s="23"/>
      <c r="R161" s="23"/>
      <c r="S161" s="23"/>
      <c r="T161" s="24"/>
      <c r="U161" s="22"/>
      <c r="V161" s="23"/>
      <c r="W161" s="23"/>
      <c r="X161" s="23"/>
      <c r="Y161" s="23"/>
      <c r="Z161" s="23"/>
      <c r="AA161" s="23"/>
      <c r="AB161" s="23"/>
      <c r="AC161" s="23"/>
      <c r="AD161" s="24"/>
      <c r="AE161" s="22"/>
      <c r="AF161" s="23"/>
      <c r="AG161" s="23"/>
      <c r="AH161" s="23"/>
      <c r="AI161" s="23"/>
      <c r="AJ161" s="23"/>
      <c r="AK161" s="23"/>
      <c r="AL161" s="23"/>
      <c r="AM161" s="23"/>
      <c r="AN161" s="24"/>
      <c r="AO161" s="22"/>
      <c r="AP161" s="23"/>
      <c r="AQ161" s="23"/>
      <c r="AR161" s="23"/>
      <c r="AS161" s="23"/>
      <c r="AT161" s="23"/>
      <c r="AU161" s="23"/>
      <c r="AV161" s="23"/>
      <c r="AW161" s="23"/>
      <c r="AX161" s="24"/>
      <c r="AY161" s="24"/>
      <c r="AZ161" s="23"/>
      <c r="BA161" s="23"/>
      <c r="BB161" s="23"/>
      <c r="BC161" s="23"/>
      <c r="BD161" s="23"/>
      <c r="BE161" s="23"/>
      <c r="BF161" s="23"/>
      <c r="BG161" s="23"/>
      <c r="BH161" s="23"/>
      <c r="BI161" s="23"/>
      <c r="BJ161" s="23"/>
    </row>
    <row r="162" spans="1:62">
      <c r="A162" s="22"/>
      <c r="B162" s="23"/>
      <c r="C162" s="153"/>
      <c r="D162" s="23"/>
      <c r="E162" s="23"/>
      <c r="F162" s="23"/>
      <c r="G162" s="23"/>
      <c r="H162" s="23"/>
      <c r="I162" s="23"/>
      <c r="J162" s="24"/>
      <c r="K162" s="22"/>
      <c r="L162" s="23"/>
      <c r="M162" s="23"/>
      <c r="N162" s="23"/>
      <c r="O162" s="23"/>
      <c r="P162" s="23"/>
      <c r="Q162" s="23"/>
      <c r="R162" s="23"/>
      <c r="S162" s="23"/>
      <c r="T162" s="24"/>
      <c r="U162" s="22"/>
      <c r="V162" s="23"/>
      <c r="W162" s="23"/>
      <c r="X162" s="23"/>
      <c r="Y162" s="23"/>
      <c r="Z162" s="23"/>
      <c r="AA162" s="23"/>
      <c r="AB162" s="23"/>
      <c r="AC162" s="23"/>
      <c r="AD162" s="24"/>
      <c r="AE162" s="22"/>
      <c r="AF162" s="23"/>
      <c r="AG162" s="23"/>
      <c r="AH162" s="23"/>
      <c r="AI162" s="23"/>
      <c r="AJ162" s="23"/>
      <c r="AK162" s="23"/>
      <c r="AL162" s="23"/>
      <c r="AM162" s="23"/>
      <c r="AN162" s="24"/>
      <c r="AO162" s="22"/>
      <c r="AP162" s="23"/>
      <c r="AQ162" s="23"/>
      <c r="AR162" s="23"/>
      <c r="AS162" s="23"/>
      <c r="AT162" s="23"/>
      <c r="AU162" s="23"/>
      <c r="AV162" s="23"/>
      <c r="AW162" s="23"/>
      <c r="AX162" s="24"/>
      <c r="AY162" s="24"/>
      <c r="AZ162" s="23"/>
      <c r="BA162" s="23"/>
      <c r="BB162" s="23"/>
      <c r="BC162" s="23"/>
      <c r="BD162" s="23"/>
      <c r="BE162" s="23"/>
      <c r="BF162" s="23"/>
      <c r="BG162" s="23"/>
      <c r="BH162" s="23"/>
      <c r="BI162" s="23"/>
      <c r="BJ162" s="23"/>
    </row>
    <row r="163" spans="1:62">
      <c r="A163" s="22"/>
      <c r="B163" s="23"/>
      <c r="C163" s="153"/>
      <c r="D163" s="23"/>
      <c r="E163" s="23"/>
      <c r="F163" s="23"/>
      <c r="G163" s="23"/>
      <c r="H163" s="23"/>
      <c r="I163" s="23"/>
      <c r="J163" s="24"/>
      <c r="K163" s="22"/>
      <c r="L163" s="23"/>
      <c r="M163" s="23"/>
      <c r="N163" s="23"/>
      <c r="O163" s="23"/>
      <c r="P163" s="23"/>
      <c r="Q163" s="23"/>
      <c r="R163" s="23"/>
      <c r="S163" s="23"/>
      <c r="T163" s="24"/>
      <c r="U163" s="22"/>
      <c r="V163" s="23"/>
      <c r="W163" s="23"/>
      <c r="X163" s="23"/>
      <c r="Y163" s="23"/>
      <c r="Z163" s="23"/>
      <c r="AA163" s="23"/>
      <c r="AB163" s="23"/>
      <c r="AC163" s="23"/>
      <c r="AD163" s="24"/>
      <c r="AE163" s="22"/>
      <c r="AF163" s="23"/>
      <c r="AG163" s="23"/>
      <c r="AH163" s="23"/>
      <c r="AI163" s="23"/>
      <c r="AJ163" s="23"/>
      <c r="AK163" s="23"/>
      <c r="AL163" s="23"/>
      <c r="AM163" s="23"/>
      <c r="AN163" s="24"/>
      <c r="AO163" s="22"/>
      <c r="AP163" s="23"/>
      <c r="AQ163" s="23"/>
      <c r="AR163" s="23"/>
      <c r="AS163" s="23"/>
      <c r="AT163" s="23"/>
      <c r="AU163" s="23"/>
      <c r="AV163" s="23"/>
      <c r="AW163" s="23"/>
      <c r="AX163" s="24"/>
      <c r="AY163" s="24"/>
      <c r="AZ163" s="23"/>
      <c r="BA163" s="23"/>
      <c r="BB163" s="23"/>
      <c r="BC163" s="23"/>
      <c r="BD163" s="23"/>
      <c r="BE163" s="23"/>
      <c r="BF163" s="23"/>
      <c r="BG163" s="23"/>
      <c r="BH163" s="23"/>
      <c r="BI163" s="23"/>
      <c r="BJ163" s="23"/>
    </row>
    <row r="164" spans="1:62">
      <c r="A164" s="22"/>
      <c r="B164" s="23"/>
      <c r="C164" s="153"/>
      <c r="D164" s="23"/>
      <c r="E164" s="23"/>
      <c r="F164" s="23"/>
      <c r="G164" s="23"/>
      <c r="H164" s="23"/>
      <c r="I164" s="23"/>
      <c r="J164" s="24"/>
      <c r="K164" s="22"/>
      <c r="L164" s="23"/>
      <c r="M164" s="23"/>
      <c r="N164" s="23"/>
      <c r="O164" s="23"/>
      <c r="P164" s="23"/>
      <c r="Q164" s="23"/>
      <c r="R164" s="23"/>
      <c r="S164" s="23"/>
      <c r="T164" s="24"/>
      <c r="U164" s="22"/>
      <c r="V164" s="23"/>
      <c r="W164" s="23"/>
      <c r="X164" s="23"/>
      <c r="Y164" s="23"/>
      <c r="Z164" s="23"/>
      <c r="AA164" s="23"/>
      <c r="AB164" s="23"/>
      <c r="AC164" s="23"/>
      <c r="AD164" s="24"/>
      <c r="AE164" s="22"/>
      <c r="AF164" s="23"/>
      <c r="AG164" s="23"/>
      <c r="AH164" s="23"/>
      <c r="AI164" s="23"/>
      <c r="AJ164" s="23"/>
      <c r="AK164" s="23"/>
      <c r="AL164" s="23"/>
      <c r="AM164" s="23"/>
      <c r="AN164" s="24"/>
      <c r="AO164" s="22"/>
      <c r="AP164" s="23"/>
      <c r="AQ164" s="23"/>
      <c r="AR164" s="23"/>
      <c r="AS164" s="23"/>
      <c r="AT164" s="23"/>
      <c r="AU164" s="23"/>
      <c r="AV164" s="23"/>
      <c r="AW164" s="23"/>
      <c r="AX164" s="24"/>
      <c r="AY164" s="24"/>
      <c r="AZ164" s="23"/>
      <c r="BA164" s="23"/>
      <c r="BB164" s="23"/>
      <c r="BC164" s="23"/>
      <c r="BD164" s="23"/>
      <c r="BE164" s="23"/>
      <c r="BF164" s="23"/>
      <c r="BG164" s="23"/>
      <c r="BH164" s="23"/>
      <c r="BI164" s="23"/>
      <c r="BJ164" s="23"/>
    </row>
    <row r="165" spans="1:62">
      <c r="A165" s="22"/>
      <c r="B165" s="23"/>
      <c r="C165" s="153"/>
      <c r="D165" s="23"/>
      <c r="E165" s="23"/>
      <c r="F165" s="23"/>
      <c r="G165" s="23"/>
      <c r="H165" s="23"/>
      <c r="I165" s="23"/>
      <c r="J165" s="24"/>
      <c r="K165" s="22"/>
      <c r="L165" s="23"/>
      <c r="M165" s="23"/>
      <c r="N165" s="23"/>
      <c r="O165" s="23"/>
      <c r="P165" s="23"/>
      <c r="Q165" s="23"/>
      <c r="R165" s="23"/>
      <c r="S165" s="23"/>
      <c r="T165" s="24"/>
      <c r="U165" s="22"/>
      <c r="V165" s="23"/>
      <c r="W165" s="23"/>
      <c r="X165" s="23"/>
      <c r="Y165" s="23"/>
      <c r="Z165" s="23"/>
      <c r="AA165" s="23"/>
      <c r="AB165" s="23"/>
      <c r="AC165" s="23"/>
      <c r="AD165" s="24"/>
      <c r="AE165" s="22"/>
      <c r="AF165" s="23"/>
      <c r="AG165" s="23"/>
      <c r="AH165" s="23"/>
      <c r="AI165" s="23"/>
      <c r="AJ165" s="23"/>
      <c r="AK165" s="23"/>
      <c r="AL165" s="23"/>
      <c r="AM165" s="23"/>
      <c r="AN165" s="24"/>
      <c r="AO165" s="22"/>
      <c r="AP165" s="23"/>
      <c r="AQ165" s="23"/>
      <c r="AR165" s="23"/>
      <c r="AS165" s="23"/>
      <c r="AT165" s="23"/>
      <c r="AU165" s="23"/>
      <c r="AV165" s="23"/>
      <c r="AW165" s="23"/>
      <c r="AX165" s="24"/>
      <c r="AY165" s="24"/>
      <c r="AZ165" s="23"/>
      <c r="BA165" s="23"/>
      <c r="BB165" s="23"/>
      <c r="BC165" s="23"/>
      <c r="BD165" s="23"/>
      <c r="BE165" s="23"/>
      <c r="BF165" s="23"/>
      <c r="BG165" s="23"/>
      <c r="BH165" s="23"/>
      <c r="BI165" s="23"/>
      <c r="BJ165" s="23"/>
    </row>
    <row r="166" spans="1:62">
      <c r="A166" s="22"/>
      <c r="B166" s="23"/>
      <c r="C166" s="153"/>
      <c r="D166" s="23"/>
      <c r="E166" s="23"/>
      <c r="F166" s="23"/>
      <c r="G166" s="23"/>
      <c r="H166" s="23"/>
      <c r="I166" s="23"/>
      <c r="J166" s="24"/>
      <c r="K166" s="22"/>
      <c r="L166" s="23"/>
      <c r="M166" s="23"/>
      <c r="N166" s="23"/>
      <c r="O166" s="23"/>
      <c r="P166" s="23"/>
      <c r="Q166" s="23"/>
      <c r="R166" s="23"/>
      <c r="S166" s="23"/>
      <c r="T166" s="24"/>
      <c r="U166" s="22"/>
      <c r="V166" s="23"/>
      <c r="W166" s="23"/>
      <c r="X166" s="23"/>
      <c r="Y166" s="23"/>
      <c r="Z166" s="23"/>
      <c r="AA166" s="23"/>
      <c r="AB166" s="23"/>
      <c r="AC166" s="23"/>
      <c r="AD166" s="24"/>
      <c r="AE166" s="22"/>
      <c r="AF166" s="23"/>
      <c r="AG166" s="23"/>
      <c r="AH166" s="23"/>
      <c r="AI166" s="23"/>
      <c r="AJ166" s="23"/>
      <c r="AK166" s="23"/>
      <c r="AL166" s="23"/>
      <c r="AM166" s="23"/>
      <c r="AN166" s="24"/>
      <c r="AO166" s="22"/>
      <c r="AP166" s="23"/>
      <c r="AQ166" s="23"/>
      <c r="AR166" s="23"/>
      <c r="AS166" s="23"/>
      <c r="AT166" s="23"/>
      <c r="AU166" s="23"/>
      <c r="AV166" s="23"/>
      <c r="AW166" s="23"/>
      <c r="AX166" s="24"/>
      <c r="AY166" s="24"/>
      <c r="AZ166" s="23"/>
      <c r="BA166" s="23"/>
      <c r="BB166" s="23"/>
      <c r="BC166" s="23"/>
      <c r="BD166" s="23"/>
      <c r="BE166" s="23"/>
      <c r="BF166" s="23"/>
      <c r="BG166" s="23"/>
      <c r="BH166" s="23"/>
      <c r="BI166" s="23"/>
      <c r="BJ166" s="23"/>
    </row>
    <row r="167" spans="1:62">
      <c r="A167" s="22"/>
      <c r="B167" s="23"/>
      <c r="C167" s="153"/>
      <c r="D167" s="23"/>
      <c r="E167" s="23"/>
      <c r="F167" s="23"/>
      <c r="G167" s="23"/>
      <c r="H167" s="23"/>
      <c r="I167" s="23"/>
      <c r="J167" s="24"/>
      <c r="K167" s="22"/>
      <c r="L167" s="23"/>
      <c r="M167" s="23"/>
      <c r="N167" s="23"/>
      <c r="O167" s="23"/>
      <c r="P167" s="23"/>
      <c r="Q167" s="23"/>
      <c r="R167" s="23"/>
      <c r="S167" s="23"/>
      <c r="T167" s="24"/>
      <c r="U167" s="22"/>
      <c r="V167" s="23"/>
      <c r="W167" s="23"/>
      <c r="X167" s="23"/>
      <c r="Y167" s="23"/>
      <c r="Z167" s="23"/>
      <c r="AA167" s="23"/>
      <c r="AB167" s="23"/>
      <c r="AC167" s="23"/>
      <c r="AD167" s="24"/>
      <c r="AE167" s="22"/>
      <c r="AF167" s="23"/>
      <c r="AG167" s="23"/>
      <c r="AH167" s="23"/>
      <c r="AI167" s="23"/>
      <c r="AJ167" s="23"/>
      <c r="AK167" s="23"/>
      <c r="AL167" s="23"/>
      <c r="AM167" s="23"/>
      <c r="AN167" s="24"/>
      <c r="AO167" s="22"/>
      <c r="AP167" s="23"/>
      <c r="AQ167" s="23"/>
      <c r="AR167" s="23"/>
      <c r="AS167" s="23"/>
      <c r="AT167" s="23"/>
      <c r="AU167" s="23"/>
      <c r="AV167" s="23"/>
      <c r="AW167" s="23"/>
      <c r="AX167" s="24"/>
      <c r="AY167" s="24"/>
      <c r="AZ167" s="23"/>
      <c r="BA167" s="23"/>
      <c r="BB167" s="23"/>
      <c r="BC167" s="23"/>
      <c r="BD167" s="23"/>
      <c r="BE167" s="23"/>
      <c r="BF167" s="23"/>
      <c r="BG167" s="23"/>
      <c r="BH167" s="23"/>
      <c r="BI167" s="23"/>
      <c r="BJ167" s="23"/>
    </row>
    <row r="168" spans="1:62">
      <c r="A168" s="22"/>
      <c r="B168" s="23"/>
      <c r="C168" s="153"/>
      <c r="D168" s="23"/>
      <c r="E168" s="23"/>
      <c r="F168" s="23"/>
      <c r="G168" s="23"/>
      <c r="H168" s="23"/>
      <c r="I168" s="23"/>
      <c r="J168" s="24"/>
      <c r="K168" s="22"/>
      <c r="L168" s="23"/>
      <c r="M168" s="23"/>
      <c r="N168" s="23"/>
      <c r="O168" s="23"/>
      <c r="P168" s="23"/>
      <c r="Q168" s="23"/>
      <c r="R168" s="23"/>
      <c r="S168" s="23"/>
      <c r="T168" s="24"/>
      <c r="U168" s="22"/>
      <c r="V168" s="23"/>
      <c r="W168" s="23"/>
      <c r="X168" s="23"/>
      <c r="Y168" s="23"/>
      <c r="Z168" s="23"/>
      <c r="AA168" s="23"/>
      <c r="AB168" s="23"/>
      <c r="AC168" s="23"/>
      <c r="AD168" s="24"/>
      <c r="AE168" s="22"/>
      <c r="AF168" s="23"/>
      <c r="AG168" s="23"/>
      <c r="AH168" s="23"/>
      <c r="AI168" s="23"/>
      <c r="AJ168" s="23"/>
      <c r="AK168" s="23"/>
      <c r="AL168" s="23"/>
      <c r="AM168" s="23"/>
      <c r="AN168" s="24"/>
      <c r="AO168" s="22"/>
      <c r="AP168" s="23"/>
      <c r="AQ168" s="23"/>
      <c r="AR168" s="23"/>
      <c r="AS168" s="23"/>
      <c r="AT168" s="23"/>
      <c r="AU168" s="23"/>
      <c r="AV168" s="23"/>
      <c r="AW168" s="23"/>
      <c r="AX168" s="24"/>
      <c r="AY168" s="24"/>
      <c r="AZ168" s="23"/>
      <c r="BA168" s="23"/>
      <c r="BB168" s="23"/>
      <c r="BC168" s="23"/>
      <c r="BD168" s="23"/>
      <c r="BE168" s="23"/>
      <c r="BF168" s="23"/>
      <c r="BG168" s="23"/>
      <c r="BH168" s="23"/>
      <c r="BI168" s="23"/>
      <c r="BJ168" s="23"/>
    </row>
    <row r="169" spans="1:62">
      <c r="A169" s="22"/>
      <c r="B169" s="23"/>
      <c r="C169" s="153"/>
      <c r="D169" s="23"/>
      <c r="E169" s="23"/>
      <c r="F169" s="23"/>
      <c r="G169" s="23"/>
      <c r="H169" s="23"/>
      <c r="I169" s="23"/>
      <c r="J169" s="24"/>
      <c r="K169" s="22"/>
      <c r="L169" s="23"/>
      <c r="M169" s="23"/>
      <c r="N169" s="23"/>
      <c r="O169" s="23"/>
      <c r="P169" s="23"/>
      <c r="Q169" s="23"/>
      <c r="R169" s="23"/>
      <c r="S169" s="23"/>
      <c r="T169" s="24"/>
      <c r="U169" s="22"/>
      <c r="V169" s="23"/>
      <c r="W169" s="23"/>
      <c r="X169" s="23"/>
      <c r="Y169" s="23"/>
      <c r="Z169" s="23"/>
      <c r="AA169" s="23"/>
      <c r="AB169" s="23"/>
      <c r="AC169" s="23"/>
      <c r="AD169" s="24"/>
      <c r="AE169" s="22"/>
      <c r="AF169" s="23"/>
      <c r="AG169" s="23"/>
      <c r="AH169" s="23"/>
      <c r="AI169" s="23"/>
      <c r="AJ169" s="23"/>
      <c r="AK169" s="23"/>
      <c r="AL169" s="23"/>
      <c r="AM169" s="23"/>
      <c r="AN169" s="24"/>
      <c r="AO169" s="22"/>
      <c r="AP169" s="23"/>
      <c r="AQ169" s="23"/>
      <c r="AR169" s="23"/>
      <c r="AS169" s="23"/>
      <c r="AT169" s="23"/>
      <c r="AU169" s="23"/>
      <c r="AV169" s="23"/>
      <c r="AW169" s="23"/>
      <c r="AX169" s="24"/>
      <c r="AY169" s="24"/>
      <c r="AZ169" s="23"/>
      <c r="BA169" s="23"/>
      <c r="BB169" s="23"/>
      <c r="BC169" s="23"/>
      <c r="BD169" s="23"/>
      <c r="BE169" s="23"/>
      <c r="BF169" s="23"/>
      <c r="BG169" s="23"/>
      <c r="BH169" s="23"/>
      <c r="BI169" s="23"/>
      <c r="BJ169" s="23"/>
    </row>
    <row r="170" spans="1:62">
      <c r="A170" s="22"/>
      <c r="B170" s="23"/>
      <c r="C170" s="153"/>
      <c r="D170" s="23"/>
      <c r="E170" s="23"/>
      <c r="F170" s="23"/>
      <c r="G170" s="23"/>
      <c r="H170" s="23"/>
      <c r="I170" s="23"/>
      <c r="J170" s="24"/>
      <c r="K170" s="22"/>
      <c r="L170" s="23"/>
      <c r="M170" s="23"/>
      <c r="N170" s="23"/>
      <c r="O170" s="23"/>
      <c r="P170" s="23"/>
      <c r="Q170" s="23"/>
      <c r="R170" s="23"/>
      <c r="S170" s="23"/>
      <c r="T170" s="24"/>
      <c r="U170" s="22"/>
      <c r="V170" s="23"/>
      <c r="W170" s="23"/>
      <c r="X170" s="23"/>
      <c r="Y170" s="23"/>
      <c r="Z170" s="23"/>
      <c r="AA170" s="23"/>
      <c r="AB170" s="23"/>
      <c r="AC170" s="23"/>
      <c r="AD170" s="24"/>
      <c r="AE170" s="22"/>
      <c r="AF170" s="23"/>
      <c r="AG170" s="23"/>
      <c r="AH170" s="23"/>
      <c r="AI170" s="23"/>
      <c r="AJ170" s="23"/>
      <c r="AK170" s="23"/>
      <c r="AL170" s="23"/>
      <c r="AM170" s="23"/>
      <c r="AN170" s="24"/>
      <c r="AO170" s="22"/>
      <c r="AP170" s="23"/>
      <c r="AQ170" s="23"/>
      <c r="AR170" s="23"/>
      <c r="AS170" s="23"/>
      <c r="AT170" s="23"/>
      <c r="AU170" s="23"/>
      <c r="AV170" s="23"/>
      <c r="AW170" s="23"/>
      <c r="AX170" s="24"/>
      <c r="AY170" s="24"/>
      <c r="AZ170" s="23"/>
      <c r="BA170" s="23"/>
      <c r="BB170" s="23"/>
      <c r="BC170" s="23"/>
      <c r="BD170" s="23"/>
      <c r="BE170" s="23"/>
      <c r="BF170" s="23"/>
      <c r="BG170" s="23"/>
      <c r="BH170" s="23"/>
      <c r="BI170" s="23"/>
      <c r="BJ170" s="23"/>
    </row>
    <row r="171" spans="1:62">
      <c r="A171" s="22"/>
      <c r="B171" s="23"/>
      <c r="C171" s="153"/>
      <c r="D171" s="23"/>
      <c r="E171" s="23"/>
      <c r="F171" s="23"/>
      <c r="G171" s="23"/>
      <c r="H171" s="23"/>
      <c r="I171" s="23"/>
      <c r="J171" s="24"/>
      <c r="K171" s="22"/>
      <c r="L171" s="23"/>
      <c r="M171" s="23"/>
      <c r="N171" s="23"/>
      <c r="O171" s="23"/>
      <c r="P171" s="23"/>
      <c r="Q171" s="23"/>
      <c r="R171" s="23"/>
      <c r="S171" s="23"/>
      <c r="T171" s="24"/>
      <c r="U171" s="22"/>
      <c r="V171" s="23"/>
      <c r="W171" s="23"/>
      <c r="X171" s="23"/>
      <c r="Y171" s="23"/>
      <c r="Z171" s="23"/>
      <c r="AA171" s="23"/>
      <c r="AB171" s="23"/>
      <c r="AC171" s="23"/>
      <c r="AD171" s="24"/>
      <c r="AE171" s="22"/>
      <c r="AF171" s="23"/>
      <c r="AG171" s="23"/>
      <c r="AH171" s="23"/>
      <c r="AI171" s="23"/>
      <c r="AJ171" s="23"/>
      <c r="AK171" s="23"/>
      <c r="AL171" s="23"/>
      <c r="AM171" s="23"/>
      <c r="AN171" s="24"/>
      <c r="AO171" s="22"/>
      <c r="AP171" s="23"/>
      <c r="AQ171" s="23"/>
      <c r="AR171" s="23"/>
      <c r="AS171" s="23"/>
      <c r="AT171" s="23"/>
      <c r="AU171" s="23"/>
      <c r="AV171" s="23"/>
      <c r="AW171" s="23"/>
      <c r="AX171" s="24"/>
      <c r="AY171" s="24"/>
      <c r="AZ171" s="23"/>
      <c r="BA171" s="23"/>
      <c r="BB171" s="23"/>
      <c r="BC171" s="23"/>
      <c r="BD171" s="23"/>
      <c r="BE171" s="23"/>
      <c r="BF171" s="23"/>
      <c r="BG171" s="23"/>
      <c r="BH171" s="23"/>
      <c r="BI171" s="23"/>
      <c r="BJ171" s="23"/>
    </row>
    <row r="172" spans="1:62">
      <c r="A172" s="22"/>
      <c r="B172" s="23"/>
      <c r="C172" s="153"/>
      <c r="D172" s="23"/>
      <c r="E172" s="23"/>
      <c r="F172" s="23"/>
      <c r="G172" s="23"/>
      <c r="H172" s="23"/>
      <c r="I172" s="23"/>
      <c r="J172" s="24"/>
      <c r="K172" s="22"/>
      <c r="L172" s="23"/>
      <c r="M172" s="23"/>
      <c r="N172" s="23"/>
      <c r="O172" s="23"/>
      <c r="P172" s="23"/>
      <c r="Q172" s="23"/>
      <c r="R172" s="23"/>
      <c r="S172" s="23"/>
      <c r="T172" s="24"/>
      <c r="U172" s="22"/>
      <c r="V172" s="23"/>
      <c r="W172" s="23"/>
      <c r="X172" s="23"/>
      <c r="Y172" s="23"/>
      <c r="Z172" s="23"/>
      <c r="AA172" s="23"/>
      <c r="AB172" s="23"/>
      <c r="AC172" s="23"/>
      <c r="AD172" s="24"/>
      <c r="AE172" s="22"/>
      <c r="AF172" s="23"/>
      <c r="AG172" s="23"/>
      <c r="AH172" s="23"/>
      <c r="AI172" s="23"/>
      <c r="AJ172" s="23"/>
      <c r="AK172" s="23"/>
      <c r="AL172" s="23"/>
      <c r="AM172" s="23"/>
      <c r="AN172" s="24"/>
      <c r="AO172" s="22"/>
      <c r="AP172" s="23"/>
      <c r="AQ172" s="23"/>
      <c r="AR172" s="23"/>
      <c r="AS172" s="23"/>
      <c r="AT172" s="23"/>
      <c r="AU172" s="23"/>
      <c r="AV172" s="23"/>
      <c r="AW172" s="23"/>
      <c r="AX172" s="24"/>
      <c r="AY172" s="24"/>
      <c r="AZ172" s="23"/>
      <c r="BA172" s="23"/>
      <c r="BB172" s="23"/>
      <c r="BC172" s="23"/>
      <c r="BD172" s="23"/>
      <c r="BE172" s="23"/>
      <c r="BF172" s="23"/>
      <c r="BG172" s="23"/>
      <c r="BH172" s="23"/>
      <c r="BI172" s="23"/>
      <c r="BJ172" s="23"/>
    </row>
    <row r="173" spans="1:62">
      <c r="A173" s="22"/>
      <c r="B173" s="23"/>
      <c r="C173" s="153"/>
      <c r="D173" s="23"/>
      <c r="E173" s="23"/>
      <c r="F173" s="23"/>
      <c r="G173" s="23"/>
      <c r="H173" s="23"/>
      <c r="I173" s="23"/>
      <c r="J173" s="24"/>
      <c r="K173" s="22"/>
      <c r="L173" s="23"/>
      <c r="M173" s="23"/>
      <c r="N173" s="23"/>
      <c r="O173" s="23"/>
      <c r="P173" s="23"/>
      <c r="Q173" s="23"/>
      <c r="R173" s="23"/>
      <c r="S173" s="23"/>
      <c r="T173" s="24"/>
      <c r="U173" s="22"/>
      <c r="V173" s="23"/>
      <c r="W173" s="23"/>
      <c r="X173" s="23"/>
      <c r="Y173" s="23"/>
      <c r="Z173" s="23"/>
      <c r="AA173" s="23"/>
      <c r="AB173" s="23"/>
      <c r="AC173" s="23"/>
      <c r="AD173" s="24"/>
      <c r="AE173" s="22"/>
      <c r="AF173" s="23"/>
      <c r="AG173" s="23"/>
      <c r="AH173" s="23"/>
      <c r="AI173" s="23"/>
      <c r="AJ173" s="23"/>
      <c r="AK173" s="23"/>
      <c r="AL173" s="23"/>
      <c r="AM173" s="23"/>
      <c r="AN173" s="24"/>
      <c r="AO173" s="22"/>
      <c r="AP173" s="23"/>
      <c r="AQ173" s="23"/>
      <c r="AR173" s="23"/>
      <c r="AS173" s="23"/>
      <c r="AT173" s="23"/>
      <c r="AU173" s="23"/>
      <c r="AV173" s="23"/>
      <c r="AW173" s="23"/>
      <c r="AX173" s="24"/>
      <c r="AY173" s="24"/>
      <c r="AZ173" s="23"/>
      <c r="BA173" s="23"/>
      <c r="BB173" s="23"/>
      <c r="BC173" s="23"/>
      <c r="BD173" s="23"/>
      <c r="BE173" s="23"/>
      <c r="BF173" s="23"/>
      <c r="BG173" s="23"/>
      <c r="BH173" s="23"/>
      <c r="BI173" s="23"/>
      <c r="BJ173" s="23"/>
    </row>
  </sheetData>
  <phoneticPr fontId="2"/>
  <conditionalFormatting sqref="AO45:AO142">
    <cfRule type="cellIs" dxfId="0" priority="1" operator="lessThan">
      <formula>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31" r:id="rId3" name="Button 3">
              <controlPr defaultSize="0" print="0" autoFill="0" autoPict="0" macro="[0]!楕円計算">
                <anchor moveWithCells="1" sizeWithCells="1">
                  <from>
                    <xdr:col>9</xdr:col>
                    <xdr:colOff>28575</xdr:colOff>
                    <xdr:row>39</xdr:row>
                    <xdr:rowOff>228600</xdr:rowOff>
                  </from>
                  <to>
                    <xdr:col>10</xdr:col>
                    <xdr:colOff>676275</xdr:colOff>
                    <xdr:row>41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B8ACD-7C41-4D97-B217-0E8134D7306F}">
  <sheetPr codeName="Sheet3">
    <tabColor theme="5" tint="0.79998168889431442"/>
  </sheetPr>
  <dimension ref="A1:U310"/>
  <sheetViews>
    <sheetView zoomScale="77" zoomScaleNormal="95" workbookViewId="0">
      <selection activeCell="H5" sqref="H5"/>
    </sheetView>
  </sheetViews>
  <sheetFormatPr defaultRowHeight="18.75"/>
  <cols>
    <col min="2" max="2" width="16.875" customWidth="1"/>
    <col min="3" max="3" width="9.125" bestFit="1" customWidth="1"/>
    <col min="4" max="4" width="10.625" bestFit="1" customWidth="1"/>
    <col min="5" max="5" width="11.875" customWidth="1"/>
    <col min="6" max="6" width="10.375" customWidth="1"/>
    <col min="7" max="7" width="10.5" customWidth="1"/>
    <col min="8" max="8" width="10.75" customWidth="1"/>
    <col min="9" max="10" width="10.375" bestFit="1" customWidth="1"/>
    <col min="14" max="14" width="9.125" bestFit="1" customWidth="1"/>
    <col min="15" max="15" width="11.625" bestFit="1" customWidth="1"/>
    <col min="19" max="19" width="15.25" customWidth="1"/>
  </cols>
  <sheetData>
    <row r="1" spans="1:21">
      <c r="A1" t="s">
        <v>527</v>
      </c>
      <c r="K1" s="129"/>
    </row>
    <row r="2" spans="1:21">
      <c r="K2" s="129"/>
    </row>
    <row r="3" spans="1:21">
      <c r="B3" s="124" t="s">
        <v>511</v>
      </c>
      <c r="H3" t="s">
        <v>1190</v>
      </c>
      <c r="K3" s="129"/>
      <c r="N3" s="287" t="s">
        <v>543</v>
      </c>
      <c r="O3" s="288"/>
      <c r="P3" s="288"/>
      <c r="Q3" s="288"/>
      <c r="R3" s="142"/>
    </row>
    <row r="4" spans="1:21">
      <c r="B4" s="125" t="s">
        <v>512</v>
      </c>
      <c r="H4" t="s">
        <v>1191</v>
      </c>
      <c r="K4" s="129"/>
    </row>
    <row r="5" spans="1:21">
      <c r="D5" s="289"/>
      <c r="E5" s="289"/>
      <c r="K5" s="129"/>
      <c r="S5" s="143" t="s">
        <v>1185</v>
      </c>
      <c r="U5" t="s">
        <v>1187</v>
      </c>
    </row>
    <row r="6" spans="1:21">
      <c r="D6" s="286" t="s">
        <v>520</v>
      </c>
      <c r="E6" s="286"/>
      <c r="F6" s="286"/>
      <c r="G6" s="286"/>
      <c r="K6" s="129"/>
      <c r="U6" t="s">
        <v>1188</v>
      </c>
    </row>
    <row r="7" spans="1:21" ht="19.5" thickBot="1">
      <c r="B7" s="73"/>
      <c r="C7" s="119" t="s">
        <v>517</v>
      </c>
      <c r="D7" s="120">
        <v>7</v>
      </c>
      <c r="E7" s="121">
        <v>9</v>
      </c>
      <c r="F7" s="121">
        <v>10</v>
      </c>
      <c r="G7" s="121">
        <v>11</v>
      </c>
      <c r="H7" s="121">
        <v>12</v>
      </c>
      <c r="K7" s="129"/>
    </row>
    <row r="8" spans="1:21" ht="19.5" thickTop="1">
      <c r="B8" s="126" t="s">
        <v>522</v>
      </c>
      <c r="C8" s="117">
        <v>1100</v>
      </c>
      <c r="D8" s="135">
        <f>$C8/1000*D$7*パラメーター!$D$4/パラメーター!$D$6</f>
        <v>477019.71787077858</v>
      </c>
      <c r="E8" s="135">
        <f>$C8/1000*E$7*パラメーター!$D$4/パラメーター!$D$6</f>
        <v>613311.0658338581</v>
      </c>
      <c r="F8" s="135">
        <f>$C8/1000*F$7*パラメーター!$D$4/パラメーター!$D$6</f>
        <v>681456.73981539789</v>
      </c>
      <c r="G8" s="135">
        <f>$C8/1000*G$7*パラメーター!$D$4/パラメーター!$D$6</f>
        <v>749602.41379693779</v>
      </c>
      <c r="H8" s="135">
        <f>$C8/1000*H$7*パラメーター!$D$4/パラメーター!$D$6</f>
        <v>817748.08777847758</v>
      </c>
      <c r="K8" s="129"/>
    </row>
    <row r="9" spans="1:21">
      <c r="B9" s="127" t="s">
        <v>523</v>
      </c>
      <c r="C9" s="116">
        <v>550</v>
      </c>
      <c r="D9" s="135">
        <f>$C9/1000*D$7*パラメーター!$D$4/パラメーター!$D$6</f>
        <v>238509.85893538929</v>
      </c>
      <c r="E9" s="135">
        <f>$C9/1000*E$7*パラメーター!$D$4/パラメーター!$D$6</f>
        <v>306655.53291692905</v>
      </c>
      <c r="F9" s="135">
        <f>$C9/1000*F$7*パラメーター!$D$4/パラメーター!$D$6</f>
        <v>340728.36990769894</v>
      </c>
      <c r="G9" s="135">
        <f>$C9/1000*G$7*パラメーター!$D$4/パラメーター!$D$6</f>
        <v>374801.2068984689</v>
      </c>
      <c r="H9" s="135">
        <f>$C9/1000*H$7*パラメーター!$D$4/パラメーター!$D$6</f>
        <v>408874.04388923879</v>
      </c>
      <c r="K9" s="129"/>
    </row>
    <row r="10" spans="1:21">
      <c r="B10" s="127" t="s">
        <v>524</v>
      </c>
      <c r="C10" s="116">
        <v>350</v>
      </c>
      <c r="D10" s="135">
        <f>$C10/1000*D$7*パラメーター!$D$4/パラメーター!$D$6</f>
        <v>151779.00114070225</v>
      </c>
      <c r="E10" s="135">
        <f>$C10/1000*E$7*パラメーター!$D$4/パラメーター!$D$6</f>
        <v>195144.43003804574</v>
      </c>
      <c r="F10" s="135">
        <f>$C10/1000*F$7*パラメーター!$D$4/パラメーター!$D$6</f>
        <v>216827.14448671753</v>
      </c>
      <c r="G10" s="135">
        <f>$C10/1000*G$7*パラメーター!$D$4/パラメーター!$D$6</f>
        <v>238509.85893538926</v>
      </c>
      <c r="H10" s="135">
        <f>$C10/1000*H$7*パラメーター!$D$4/パラメーター!$D$6</f>
        <v>260192.57338406099</v>
      </c>
      <c r="K10" s="129"/>
    </row>
    <row r="11" spans="1:21" ht="19.5" thickBot="1">
      <c r="K11" s="129"/>
      <c r="N11" s="216" t="s">
        <v>537</v>
      </c>
      <c r="O11" s="216" t="s">
        <v>538</v>
      </c>
    </row>
    <row r="12" spans="1:21" ht="19.5" thickTop="1">
      <c r="A12" s="89"/>
      <c r="B12" s="89"/>
      <c r="C12" s="89"/>
      <c r="D12" s="89"/>
      <c r="E12" s="89"/>
      <c r="F12" s="89"/>
      <c r="G12" s="89"/>
      <c r="H12" s="89"/>
      <c r="I12" s="89"/>
      <c r="J12" s="89"/>
      <c r="K12" s="118"/>
      <c r="N12" s="144">
        <v>0.99979459999999998</v>
      </c>
      <c r="O12" s="144">
        <v>0</v>
      </c>
    </row>
    <row r="13" spans="1:21">
      <c r="A13" s="130"/>
      <c r="B13" s="130"/>
      <c r="C13" s="130"/>
      <c r="D13" s="130"/>
      <c r="E13" s="130"/>
      <c r="F13" s="130"/>
      <c r="G13" s="130"/>
      <c r="H13" s="130"/>
      <c r="I13" s="130"/>
      <c r="K13" s="129"/>
      <c r="N13" s="49">
        <v>0.99750419999999995</v>
      </c>
      <c r="O13" s="49">
        <v>7.3620000000000001E-4</v>
      </c>
    </row>
    <row r="14" spans="1:21">
      <c r="B14" s="124" t="s">
        <v>516</v>
      </c>
      <c r="K14" s="129"/>
      <c r="N14" s="49">
        <v>0.99483750000000004</v>
      </c>
      <c r="O14" s="49">
        <v>1.5046E-3</v>
      </c>
    </row>
    <row r="15" spans="1:21">
      <c r="B15" s="125" t="s">
        <v>513</v>
      </c>
      <c r="K15" s="129"/>
      <c r="N15" s="49">
        <v>0.99179340000000005</v>
      </c>
      <c r="O15" s="49">
        <v>2.3860000000000001E-3</v>
      </c>
    </row>
    <row r="16" spans="1:21">
      <c r="K16" s="129"/>
      <c r="N16" s="49">
        <v>0.98845899999999998</v>
      </c>
      <c r="O16" s="49">
        <v>3.3846000000000002E-3</v>
      </c>
    </row>
    <row r="17" spans="1:15">
      <c r="B17" t="s">
        <v>515</v>
      </c>
      <c r="K17" s="129"/>
      <c r="N17" s="49">
        <v>0.98484450000000001</v>
      </c>
      <c r="O17" s="49">
        <v>4.4184999999999997E-3</v>
      </c>
    </row>
    <row r="18" spans="1:15">
      <c r="B18" s="127" t="s">
        <v>334</v>
      </c>
      <c r="C18" s="127" t="s">
        <v>99</v>
      </c>
      <c r="K18" s="129"/>
      <c r="N18" s="49">
        <v>0.98087630000000003</v>
      </c>
      <c r="O18" s="49">
        <v>5.483E-3</v>
      </c>
    </row>
    <row r="19" spans="1:15">
      <c r="B19" s="49">
        <f>全機諸元!D20</f>
        <v>26.5</v>
      </c>
      <c r="C19" s="49">
        <f>全機諸元!D17</f>
        <v>122</v>
      </c>
      <c r="K19" s="129"/>
      <c r="N19" s="49">
        <v>0.97655780000000003</v>
      </c>
      <c r="O19" s="49">
        <v>6.6543000000000001E-3</v>
      </c>
    </row>
    <row r="20" spans="1:15">
      <c r="K20" s="129"/>
      <c r="N20" s="49">
        <v>0.97197100000000003</v>
      </c>
      <c r="O20" s="49">
        <v>7.9307000000000006E-3</v>
      </c>
    </row>
    <row r="21" spans="1:15">
      <c r="D21" s="132" t="s">
        <v>514</v>
      </c>
      <c r="E21" s="132"/>
      <c r="F21" s="132"/>
      <c r="K21" s="129"/>
      <c r="N21" s="49">
        <v>0.96711970000000003</v>
      </c>
      <c r="O21" s="49">
        <v>9.2336999999999992E-3</v>
      </c>
    </row>
    <row r="22" spans="1:15">
      <c r="B22" s="49"/>
      <c r="C22" s="49" t="s">
        <v>518</v>
      </c>
      <c r="D22" s="122">
        <v>0.35</v>
      </c>
      <c r="E22" s="122">
        <v>0.55000000000000004</v>
      </c>
      <c r="F22" s="122">
        <v>1.06</v>
      </c>
      <c r="K22" s="129"/>
      <c r="N22" s="49">
        <v>0.96193300000000004</v>
      </c>
      <c r="O22" s="49">
        <v>1.05646E-2</v>
      </c>
    </row>
    <row r="23" spans="1:15">
      <c r="B23" s="49"/>
      <c r="C23" s="49" t="s">
        <v>519</v>
      </c>
      <c r="D23" s="123">
        <v>12.5</v>
      </c>
      <c r="E23" s="123">
        <v>9</v>
      </c>
      <c r="F23" s="123">
        <v>2.4</v>
      </c>
      <c r="K23" s="129"/>
      <c r="N23" s="49">
        <v>0.95641880000000001</v>
      </c>
      <c r="O23" s="49">
        <v>1.19965E-2</v>
      </c>
    </row>
    <row r="24" spans="1:15">
      <c r="B24" s="49" t="s">
        <v>513</v>
      </c>
      <c r="C24" s="49"/>
      <c r="D24" s="134">
        <f xml:space="preserve"> (1/パラメーター!$D$6) *
  SQRT((8*パラメーター!$D$4*翼型設計!$C$19*パラメーター!$D$5*翼型設計!D22)/(PI()*翼型設計!$B$19)) *
  POWER(1 - (2*翼型設計!D23/翼型設計!$B$19)^2, 0.25)</f>
        <v>210680.41780922774</v>
      </c>
      <c r="E24" s="134">
        <f xml:space="preserve"> (1/パラメーター!$D$6) *
  SQRT((8*パラメーター!$D$4*翼型設計!$C$19*パラメーター!$D$5*翼型設計!E22)/(PI()*翼型設計!$B$19)) *
  POWER(1 - (2*翼型設計!E23/翼型設計!$B$19)^2, 0.25)</f>
        <v>392863.43146928097</v>
      </c>
      <c r="F24" s="134">
        <f xml:space="preserve"> (1/パラメーター!$D$6) *
  SQRT((8*パラメーター!$D$4*翼型設計!$C$19*パラメーター!$D$5*翼型設計!F22)/(PI()*翼型設計!$B$19)) *
  POWER(1 - (2*翼型設計!F23/翼型設計!$B$19)^2, 0.25)</f>
        <v>631348.97138310678</v>
      </c>
      <c r="K24" s="129"/>
      <c r="N24" s="49">
        <v>0.95065619999999995</v>
      </c>
      <c r="O24" s="49">
        <v>1.3523500000000001E-2</v>
      </c>
    </row>
    <row r="25" spans="1:15">
      <c r="D25" s="128"/>
      <c r="E25" s="128"/>
      <c r="F25" s="128"/>
      <c r="K25" s="129"/>
      <c r="N25" s="49">
        <v>0.9446447</v>
      </c>
      <c r="O25" s="49">
        <v>1.50714E-2</v>
      </c>
    </row>
    <row r="26" spans="1:15">
      <c r="A26" s="89"/>
      <c r="B26" s="89"/>
      <c r="C26" s="89"/>
      <c r="D26" s="133"/>
      <c r="E26" s="133"/>
      <c r="F26" s="133"/>
      <c r="G26" s="89"/>
      <c r="H26" s="89"/>
      <c r="I26" s="89"/>
      <c r="J26" s="89"/>
      <c r="K26" s="118"/>
      <c r="N26" s="49">
        <v>0.93831739999999997</v>
      </c>
      <c r="O26" s="49">
        <v>1.6645400000000001E-2</v>
      </c>
    </row>
    <row r="27" spans="1:15">
      <c r="K27" s="129"/>
      <c r="N27" s="49">
        <v>0.93168759999999995</v>
      </c>
      <c r="O27" s="49">
        <v>1.8315499999999998E-2</v>
      </c>
    </row>
    <row r="28" spans="1:15">
      <c r="B28" s="124" t="s">
        <v>509</v>
      </c>
      <c r="K28" s="129"/>
      <c r="N28" s="49">
        <v>0.92483139999999997</v>
      </c>
      <c r="O28" s="49">
        <v>2.00701E-2</v>
      </c>
    </row>
    <row r="29" spans="1:15">
      <c r="B29" s="125" t="s">
        <v>510</v>
      </c>
      <c r="K29" s="129"/>
      <c r="N29" s="49">
        <v>0.91774359999999999</v>
      </c>
      <c r="O29" s="49">
        <v>2.1836999999999999E-2</v>
      </c>
    </row>
    <row r="30" spans="1:15">
      <c r="K30" s="129"/>
      <c r="N30" s="49">
        <v>0.91035779999999999</v>
      </c>
      <c r="O30" s="49">
        <v>2.3625199999999999E-2</v>
      </c>
    </row>
    <row r="31" spans="1:15">
      <c r="D31" s="290" t="s">
        <v>521</v>
      </c>
      <c r="E31" s="290"/>
      <c r="K31" s="129"/>
      <c r="N31" s="49">
        <v>0.90268919999999997</v>
      </c>
      <c r="O31" s="49">
        <v>2.5503399999999999E-2</v>
      </c>
    </row>
    <row r="32" spans="1:15" ht="19.5" thickBot="1">
      <c r="B32" s="73"/>
      <c r="C32" s="119" t="s">
        <v>517</v>
      </c>
      <c r="D32" s="120">
        <v>8</v>
      </c>
      <c r="E32" s="121">
        <v>9</v>
      </c>
      <c r="F32" s="121">
        <v>10</v>
      </c>
      <c r="G32" s="121">
        <v>10.5</v>
      </c>
      <c r="H32" s="121">
        <v>11</v>
      </c>
      <c r="I32" s="121">
        <v>11.5</v>
      </c>
      <c r="J32" s="121">
        <v>12</v>
      </c>
      <c r="K32" s="129"/>
      <c r="N32" s="49">
        <v>0.89481010000000005</v>
      </c>
      <c r="O32" s="49">
        <v>2.7459600000000001E-2</v>
      </c>
    </row>
    <row r="33" spans="1:15" ht="19.5" thickTop="1">
      <c r="B33" s="284" t="s">
        <v>525</v>
      </c>
      <c r="C33" s="117">
        <v>1.2</v>
      </c>
      <c r="D33" s="135">
        <f>(8*$C$19*パラメーター!$D$5) / (PI()*$B$19*パラメーター!$D$6*翼型設計!D$32)
*SQRT(1 - (2*$C33/$B$19)^2)</f>
        <v>768339.04442527925</v>
      </c>
      <c r="E33" s="137">
        <f>(8*$C$19*パラメーター!$D$5) / (PI()*$B$19*パラメーター!$D$6*翼型設計!E$32)
*SQRT(1 - (2*$C33/$B$19)^2)</f>
        <v>682968.03948913701</v>
      </c>
      <c r="F33" s="137">
        <f>(8*$C$19*パラメーター!$D$5) / (PI()*$B$19*パラメーター!$D$6*翼型設計!F$32)
*SQRT(1 - (2*$C33/$B$19)^2)</f>
        <v>614671.23554022331</v>
      </c>
      <c r="G33" s="137">
        <f>(8*$C$19*パラメーター!$D$5) / (PI()*$B$19*パラメーター!$D$6*翼型設計!G$32)
*SQRT(1 - (2*$C33/$B$19)^2)</f>
        <v>585401.17670497461</v>
      </c>
      <c r="H33" s="137">
        <f>(8*$C$19*パラメーター!$D$5) / (PI()*$B$19*パラメーター!$D$6*翼型設計!H$32)
*SQRT(1 - (2*$C33/$B$19)^2)</f>
        <v>558792.03230929386</v>
      </c>
      <c r="I33" s="137">
        <f>(8*$C$19*パラメーター!$D$5) / (PI()*$B$19*パラメーター!$D$6*翼型設計!I$32)
*SQRT(1 - (2*$C33/$B$19)^2)</f>
        <v>534496.72655671602</v>
      </c>
      <c r="J33" s="137">
        <f>(8*$C$19*パラメーター!$D$5) / (PI()*$B$19*パラメーター!$D$6*翼型設計!J$32)
*SQRT(1 - (2*$C33/$B$19)^2)</f>
        <v>512226.02961685287</v>
      </c>
      <c r="K33" s="129"/>
      <c r="N33" s="49">
        <v>0.88671199999999994</v>
      </c>
      <c r="O33" s="49">
        <v>2.9427399999999999E-2</v>
      </c>
    </row>
    <row r="34" spans="1:15">
      <c r="B34" s="285"/>
      <c r="C34" s="116">
        <v>4</v>
      </c>
      <c r="D34" s="136">
        <f>(8*$C$19*パラメーター!$D$5) / (PI()*$B$19*パラメーター!$D$6*翼型設計!D$32)
*SQRT(1 - (2*$C34/$B$19)^2)</f>
        <v>735513.879044111</v>
      </c>
      <c r="E34" s="134">
        <f>(8*$C$19*パラメーター!$D$5) / (PI()*$B$19*パラメーター!$D$6*翼型設計!E$32)
*SQRT(1 - (2*$C34/$B$19)^2)</f>
        <v>653790.11470587645</v>
      </c>
      <c r="F34" s="134">
        <f>(8*$C$19*パラメーター!$D$5) / (PI()*$B$19*パラメーター!$D$6*翼型設計!F$32)
*SQRT(1 - (2*$C34/$B$19)^2)</f>
        <v>588411.10323528876</v>
      </c>
      <c r="G34" s="134">
        <f>(8*$C$19*パラメーター!$D$5) / (PI()*$B$19*パラメーター!$D$6*翼型設計!G$32)
*SQRT(1 - (2*$C34/$B$19)^2)</f>
        <v>560391.52689075121</v>
      </c>
      <c r="H34" s="134">
        <f>(8*$C$19*パラメーター!$D$5) / (PI()*$B$19*パラメーター!$D$6*翼型設計!H$32)
*SQRT(1 - (2*$C34/$B$19)^2)</f>
        <v>534919.1847593534</v>
      </c>
      <c r="I34" s="134">
        <f>(8*$C$19*パラメーター!$D$5) / (PI()*$B$19*パラメーター!$D$6*翼型設計!I$32)
*SQRT(1 - (2*$C34/$B$19)^2)</f>
        <v>511661.82890025119</v>
      </c>
      <c r="J34" s="134">
        <f>(8*$C$19*パラメーター!$D$5) / (PI()*$B$19*パラメーター!$D$6*翼型設計!J$32)
*SQRT(1 - (2*$C34/$B$19)^2)</f>
        <v>490342.58602940739</v>
      </c>
      <c r="K34" s="129"/>
      <c r="N34" s="49">
        <v>0.87833280000000002</v>
      </c>
      <c r="O34" s="49">
        <v>3.1423E-2</v>
      </c>
    </row>
    <row r="35" spans="1:15">
      <c r="B35" s="285"/>
      <c r="C35" s="116">
        <v>6</v>
      </c>
      <c r="D35" s="136">
        <f>(8*$C$19*パラメーター!$D$5) / (PI()*$B$19*パラメーター!$D$6*翼型設計!D$32)
*SQRT(1 - (2*$C35/$B$19)^2)</f>
        <v>687875.47600911197</v>
      </c>
      <c r="E35" s="134">
        <f>(8*$C$19*パラメーター!$D$5) / (PI()*$B$19*パラメーター!$D$6*翼型設計!E$32)
*SQRT(1 - (2*$C35/$B$19)^2)</f>
        <v>611444.86756365502</v>
      </c>
      <c r="F35" s="134">
        <f>(8*$C$19*パラメーター!$D$5) / (PI()*$B$19*パラメーター!$D$6*翼型設計!F$32)
*SQRT(1 - (2*$C35/$B$19)^2)</f>
        <v>550300.3808072895</v>
      </c>
      <c r="G35" s="134">
        <f>(8*$C$19*パラメーター!$D$5) / (PI()*$B$19*パラメーター!$D$6*翼型設計!G$32)
*SQRT(1 - (2*$C35/$B$19)^2)</f>
        <v>524095.60076884722</v>
      </c>
      <c r="H35" s="134">
        <f>(8*$C$19*パラメーター!$D$5) / (PI()*$B$19*パラメーター!$D$6*翼型設計!H$32)
*SQRT(1 - (2*$C35/$B$19)^2)</f>
        <v>500273.07346117229</v>
      </c>
      <c r="I35" s="134">
        <f>(8*$C$19*パラメーター!$D$5) / (PI()*$B$19*パラメーター!$D$6*翼型設計!I$32)
*SQRT(1 - (2*$C35/$B$19)^2)</f>
        <v>478522.07026720839</v>
      </c>
      <c r="J35" s="134">
        <f>(8*$C$19*パラメーター!$D$5) / (PI()*$B$19*パラメーター!$D$6*翼型設計!J$32)
*SQRT(1 - (2*$C35/$B$19)^2)</f>
        <v>458583.65067274135</v>
      </c>
      <c r="K35" s="129"/>
      <c r="N35" s="49">
        <v>0.86969379999999996</v>
      </c>
      <c r="O35" s="49">
        <v>3.35144E-2</v>
      </c>
    </row>
    <row r="36" spans="1:15">
      <c r="B36" s="285"/>
      <c r="C36" s="116">
        <v>8</v>
      </c>
      <c r="D36" s="136">
        <f>(8*$C$19*パラメーター!$D$5) / (PI()*$B$19*パラメーター!$D$6*翼型設計!D$32)
*SQRT(1 - (2*$C36/$B$19)^2)</f>
        <v>615013.39531290578</v>
      </c>
      <c r="E36" s="134">
        <f>(8*$C$19*パラメーター!$D$5) / (PI()*$B$19*パラメーター!$D$6*翼型設計!E$32)
*SQRT(1 - (2*$C36/$B$19)^2)</f>
        <v>546678.5736114718</v>
      </c>
      <c r="F36" s="134">
        <f>(8*$C$19*パラメーター!$D$5) / (PI()*$B$19*パラメーター!$D$6*翼型設計!F$32)
*SQRT(1 - (2*$C36/$B$19)^2)</f>
        <v>492010.71625032456</v>
      </c>
      <c r="G36" s="134">
        <f>(8*$C$19*パラメーター!$D$5) / (PI()*$B$19*パラメーター!$D$6*翼型設計!G$32)
*SQRT(1 - (2*$C36/$B$19)^2)</f>
        <v>468581.63452411868</v>
      </c>
      <c r="H36" s="134">
        <f>(8*$C$19*パラメーター!$D$5) / (PI()*$B$19*パラメーター!$D$6*翼型設計!H$32)
*SQRT(1 - (2*$C36/$B$19)^2)</f>
        <v>447282.46931847691</v>
      </c>
      <c r="I36" s="134">
        <f>(8*$C$19*パラメーター!$D$5) / (PI()*$B$19*パラメーター!$D$6*翼型設計!I$32)
*SQRT(1 - (2*$C36/$B$19)^2)</f>
        <v>427835.40543506492</v>
      </c>
      <c r="J36" s="134">
        <f>(8*$C$19*パラメーター!$D$5) / (PI()*$B$19*パラメーター!$D$6*翼型設計!J$32)
*SQRT(1 - (2*$C36/$B$19)^2)</f>
        <v>410008.93020860391</v>
      </c>
      <c r="K36" s="129"/>
      <c r="N36" s="49">
        <v>0.86086629999999997</v>
      </c>
      <c r="O36" s="49">
        <v>3.5688699999999997E-2</v>
      </c>
    </row>
    <row r="37" spans="1:15">
      <c r="B37" s="285"/>
      <c r="C37" s="116">
        <v>10</v>
      </c>
      <c r="D37" s="136">
        <f>(8*$C$19*パラメーター!$D$5) / (PI()*$B$19*パラメーター!$D$6*翼型設計!D$32)
*SQRT(1 - (2*$C37/$B$19)^2)</f>
        <v>506149.27049750206</v>
      </c>
      <c r="E37" s="134">
        <f>(8*$C$19*パラメーター!$D$5) / (PI()*$B$19*パラメーター!$D$6*翼型設計!E$32)
*SQRT(1 - (2*$C37/$B$19)^2)</f>
        <v>449910.46266444621</v>
      </c>
      <c r="F37" s="134">
        <f>(8*$C$19*パラメーター!$D$5) / (PI()*$B$19*パラメーター!$D$6*翼型設計!F$32)
*SQRT(1 - (2*$C37/$B$19)^2)</f>
        <v>404919.4163980016</v>
      </c>
      <c r="G37" s="134">
        <f>(8*$C$19*パラメーター!$D$5) / (PI()*$B$19*パラメーター!$D$6*翼型設計!G$32)
*SQRT(1 - (2*$C37/$B$19)^2)</f>
        <v>385637.5394266682</v>
      </c>
      <c r="H37" s="134">
        <f>(8*$C$19*パラメーター!$D$5) / (PI()*$B$19*パラメーター!$D$6*翼型設計!H$32)
*SQRT(1 - (2*$C37/$B$19)^2)</f>
        <v>368108.56036181963</v>
      </c>
      <c r="I37" s="134">
        <f>(8*$C$19*パラメーター!$D$5) / (PI()*$B$19*パラメーター!$D$6*翼型設計!I$32)
*SQRT(1 - (2*$C37/$B$19)^2)</f>
        <v>352103.8403460884</v>
      </c>
      <c r="J37" s="134">
        <f>(8*$C$19*パラメーター!$D$5) / (PI()*$B$19*パラメーター!$D$6*翼型設計!J$32)
*SQRT(1 - (2*$C37/$B$19)^2)</f>
        <v>337432.84699833475</v>
      </c>
      <c r="K37" s="129"/>
      <c r="N37" s="49">
        <v>0.85183960000000003</v>
      </c>
      <c r="O37" s="49">
        <v>3.7886000000000003E-2</v>
      </c>
    </row>
    <row r="38" spans="1:15">
      <c r="B38" s="285"/>
      <c r="C38" s="116">
        <v>12</v>
      </c>
      <c r="D38" s="136">
        <f>(8*$C$19*パラメーター!$D$5) / (PI()*$B$19*パラメーター!$D$6*翼型設計!D$32)
*SQRT(1 - (2*$C38/$B$19)^2)</f>
        <v>327123.05532826227</v>
      </c>
      <c r="E38" s="134">
        <f>(8*$C$19*パラメーター!$D$5) / (PI()*$B$19*パラメーター!$D$6*翼型設計!E$32)
*SQRT(1 - (2*$C38/$B$19)^2)</f>
        <v>290776.04918067757</v>
      </c>
      <c r="F38" s="134">
        <f>(8*$C$19*パラメーター!$D$5) / (PI()*$B$19*パラメーター!$D$6*翼型設計!F$32)
*SQRT(1 - (2*$C38/$B$19)^2)</f>
        <v>261698.44426260979</v>
      </c>
      <c r="G38" s="134">
        <f>(8*$C$19*パラメーター!$D$5) / (PI()*$B$19*パラメーター!$D$6*翼型設計!G$32)
*SQRT(1 - (2*$C38/$B$19)^2)</f>
        <v>249236.61358343792</v>
      </c>
      <c r="H38" s="134">
        <f>(8*$C$19*パラメーター!$D$5) / (PI()*$B$19*パラメーター!$D$6*翼型設計!H$32)
*SQRT(1 - (2*$C38/$B$19)^2)</f>
        <v>237907.67660237255</v>
      </c>
      <c r="I38" s="134">
        <f>(8*$C$19*パラメーター!$D$5) / (PI()*$B$19*パラメーター!$D$6*翼型設計!I$32)
*SQRT(1 - (2*$C38/$B$19)^2)</f>
        <v>227563.86457618247</v>
      </c>
      <c r="J38" s="134">
        <f>(8*$C$19*パラメーター!$D$5) / (PI()*$B$19*パラメーター!$D$6*翼型設計!J$32)
*SQRT(1 - (2*$C38/$B$19)^2)</f>
        <v>218082.03688550822</v>
      </c>
      <c r="K38" s="129"/>
      <c r="N38" s="49">
        <v>0.84256019999999998</v>
      </c>
      <c r="O38" s="49">
        <v>4.0131800000000002E-2</v>
      </c>
    </row>
    <row r="39" spans="1:15">
      <c r="B39" s="285"/>
      <c r="C39" s="116">
        <v>13</v>
      </c>
      <c r="D39" s="136">
        <f>(8*$C$19*パラメーター!$D$5) / (PI()*$B$19*パラメーター!$D$6*翼型設計!D$32)
*SQRT(1 - (2*$C39/$B$19)^2)</f>
        <v>149162.65823793301</v>
      </c>
      <c r="E39" s="134">
        <f>(8*$C$19*パラメーター!$D$5) / (PI()*$B$19*パラメーター!$D$6*翼型設計!E$32)
*SQRT(1 - (2*$C39/$B$19)^2)</f>
        <v>132589.0295448293</v>
      </c>
      <c r="F39" s="134">
        <f>(8*$C$19*パラメーター!$D$5) / (PI()*$B$19*パラメーター!$D$6*翼型設計!F$32)
*SQRT(1 - (2*$C39/$B$19)^2)</f>
        <v>119330.12659034638</v>
      </c>
      <c r="G39" s="134">
        <f>(8*$C$19*パラメーター!$D$5) / (PI()*$B$19*パラメーター!$D$6*翼型設計!G$32)
*SQRT(1 - (2*$C39/$B$19)^2)</f>
        <v>113647.7396098537</v>
      </c>
      <c r="H39" s="134">
        <f>(8*$C$19*パラメーター!$D$5) / (PI()*$B$19*パラメーター!$D$6*翼型設計!H$32)
*SQRT(1 - (2*$C39/$B$19)^2)</f>
        <v>108481.93326395126</v>
      </c>
      <c r="I39" s="134">
        <f>(8*$C$19*パラメーター!$D$5) / (PI()*$B$19*パラメーター!$D$6*翼型設計!I$32)
*SQRT(1 - (2*$C39/$B$19)^2)</f>
        <v>103765.32746986643</v>
      </c>
      <c r="J39" s="134">
        <f>(8*$C$19*パラメーター!$D$5) / (PI()*$B$19*パラメーター!$D$6*翼型設計!J$32)
*SQRT(1 - (2*$C39/$B$19)^2)</f>
        <v>99441.772158622</v>
      </c>
      <c r="K39" s="129"/>
      <c r="N39" s="49">
        <v>0.83306290000000005</v>
      </c>
      <c r="O39" s="49">
        <v>4.2496100000000002E-2</v>
      </c>
    </row>
    <row r="40" spans="1:15">
      <c r="K40" s="129"/>
      <c r="N40" s="49">
        <v>0.82342939999999998</v>
      </c>
      <c r="O40" s="49">
        <v>4.4959899999999997E-2</v>
      </c>
    </row>
    <row r="41" spans="1:15">
      <c r="A41" s="89"/>
      <c r="B41" s="89"/>
      <c r="C41" s="89"/>
      <c r="D41" s="89"/>
      <c r="E41" s="89"/>
      <c r="F41" s="89"/>
      <c r="G41" s="89"/>
      <c r="H41" s="89"/>
      <c r="I41" s="89"/>
      <c r="J41" s="89"/>
      <c r="K41" s="118"/>
      <c r="N41" s="49">
        <v>0.81365730000000003</v>
      </c>
      <c r="O41" s="49">
        <v>4.7457399999999997E-2</v>
      </c>
    </row>
    <row r="42" spans="1:15">
      <c r="A42" s="130"/>
      <c r="B42" s="130"/>
      <c r="C42" s="130"/>
      <c r="D42" s="130"/>
      <c r="E42" s="130"/>
      <c r="F42" s="130"/>
      <c r="G42" s="130"/>
      <c r="H42" s="130"/>
      <c r="I42" s="130"/>
      <c r="J42" s="130"/>
      <c r="K42" s="131"/>
      <c r="N42" s="49">
        <v>0.80370050000000004</v>
      </c>
      <c r="O42" s="49">
        <v>5.0005300000000003E-2</v>
      </c>
    </row>
    <row r="43" spans="1:15">
      <c r="B43" t="s">
        <v>526</v>
      </c>
      <c r="K43" s="129"/>
      <c r="N43" s="49">
        <v>0.79359639999999998</v>
      </c>
      <c r="O43" s="49">
        <v>5.2658299999999998E-2</v>
      </c>
    </row>
    <row r="44" spans="1:15">
      <c r="K44" s="129"/>
      <c r="N44" s="49">
        <v>0.78341890000000003</v>
      </c>
      <c r="O44" s="49">
        <v>5.5387199999999998E-2</v>
      </c>
    </row>
    <row r="45" spans="1:15">
      <c r="E45" s="286" t="s">
        <v>520</v>
      </c>
      <c r="F45" s="286"/>
      <c r="G45" s="286"/>
      <c r="H45" s="286"/>
      <c r="K45" s="129"/>
      <c r="N45" s="49">
        <v>0.77315929999999999</v>
      </c>
      <c r="O45" s="49">
        <v>5.81266E-2</v>
      </c>
    </row>
    <row r="46" spans="1:15" ht="19.5" thickBot="1">
      <c r="B46" s="73"/>
      <c r="C46" s="139"/>
      <c r="D46" s="119" t="s">
        <v>517</v>
      </c>
      <c r="E46" s="120">
        <v>8</v>
      </c>
      <c r="F46" s="121">
        <v>9</v>
      </c>
      <c r="G46" s="121">
        <v>10</v>
      </c>
      <c r="H46" s="121">
        <v>10.5</v>
      </c>
      <c r="I46" s="121">
        <v>11</v>
      </c>
      <c r="J46" s="120">
        <v>12</v>
      </c>
      <c r="K46" s="129"/>
      <c r="N46" s="49">
        <v>0.76277499999999998</v>
      </c>
      <c r="O46" s="49">
        <v>6.0891500000000001E-2</v>
      </c>
    </row>
    <row r="47" spans="1:15" ht="19.5" thickTop="1">
      <c r="B47" s="126" t="s">
        <v>522</v>
      </c>
      <c r="C47" s="140">
        <v>2.4</v>
      </c>
      <c r="D47" s="117">
        <v>1100</v>
      </c>
      <c r="E47" s="138">
        <f xml:space="preserve"> ( 8 * $C$19 * パラメーター!$D$5 ) / (PI() * 翼型設計!$B$19 * パラメーター!$D$4 * 翼型設計!E$46 * 翼型設計!E$46 * 翼型設計!$D47/1000 ) * SQRT( 1 - (2 * 翼型設計!$C47 /翼型設計!$B$19 ) )</f>
        <v>1.2806191332954435</v>
      </c>
      <c r="F47" s="138">
        <f xml:space="preserve"> ( 8 * $C$19 * パラメーター!$D$5 ) / (PI() * 翼型設計!$B$19 * パラメーター!$D$4 * 翼型設計!F$46 * 翼型設計!F$46 * 翼型設計!$D47/1000 ) * SQRT( 1 - (2 * 翼型設計!$C47 /翼型設計!$B$19 ) )</f>
        <v>1.011847216430968</v>
      </c>
      <c r="G47" s="138">
        <f xml:space="preserve"> ( 8 * $C$19 * パラメーター!$D$5 ) / (PI() * 翼型設計!$B$19 * パラメーター!$D$4 * 翼型設計!G$46 * 翼型設計!G$46 * 翼型設計!$D47/1000 ) * SQRT( 1 - (2 * 翼型設計!$C47 /翼型設計!$B$19 ) )</f>
        <v>0.81959624530908393</v>
      </c>
      <c r="H47" s="138">
        <f xml:space="preserve"> ( 8 * $C$19 * パラメーター!$D$5 ) / (PI() * 翼型設計!$B$19 * パラメーター!$D$4 * 翼型設計!H$46 * 翼型設計!H$46 * 翼型設計!$D47/1000 ) * SQRT( 1 - (2 * 翼型設計!$C47 /翼型設計!$B$19 ) )</f>
        <v>0.74339795492887417</v>
      </c>
      <c r="I47" s="138">
        <f xml:space="preserve"> ( 8 * $C$19 * パラメーター!$D$5 ) / (PI() * 翼型設計!$B$19 * パラメーター!$D$4 * 翼型設計!I$46 * 翼型設計!I$46 * 翼型設計!$D47/1000 ) * SQRT( 1 - (2 * 翼型設計!$C47 /翼型設計!$B$19 ) )</f>
        <v>0.6773522688504825</v>
      </c>
      <c r="J47" s="138">
        <f xml:space="preserve"> ( 8 * $C$19 * パラメーター!$D$5 ) / (PI() * 翼型設計!$B$19 * パラメーター!$D$4 * 翼型設計!J$46 * 翼型設計!J$46 * 翼型設計!$D47/1000 ) * SQRT( 1 - (2 * 翼型設計!$C47 /翼型設計!$B$19 ) )</f>
        <v>0.56916405924241931</v>
      </c>
      <c r="K47" s="129"/>
      <c r="N47" s="49">
        <v>0.75230339999999996</v>
      </c>
      <c r="O47" s="49">
        <v>6.3727000000000006E-2</v>
      </c>
    </row>
    <row r="48" spans="1:15">
      <c r="B48" s="127" t="s">
        <v>523</v>
      </c>
      <c r="C48" s="141">
        <v>9.9499999999999993</v>
      </c>
      <c r="D48" s="116">
        <v>600</v>
      </c>
      <c r="E48" s="138">
        <f xml:space="preserve"> ( 8 * $C$19 * パラメーター!$D$5 ) / (PI() * 翼型設計!$B$19 * パラメーター!$D$4 * 翼型設計!E$46 * 翼型設計!E$46 * 翼型設計!$D48/1000 ) * SQRT( 1 - (2 * 翼型設計!$C48 /翼型設計!$B$19 ) )</f>
        <v>1.2948024777547282</v>
      </c>
      <c r="F48" s="138">
        <f xml:space="preserve"> ( 8 * $C$19 * パラメーター!$D$5 ) / (PI() * 翼型設計!$B$19 * パラメーター!$D$4 * 翼型設計!F$46 * 翼型設計!F$46 * 翼型設計!$D48/1000 ) * SQRT( 1 - (2 * 翼型設計!$C48 /翼型設計!$B$19 ) )</f>
        <v>1.023053809583983</v>
      </c>
      <c r="G48" s="138">
        <f xml:space="preserve"> ( 8 * $C$19 * パラメーター!$D$5 ) / (PI() * 翼型設計!$B$19 * パラメーター!$D$4 * 翼型設計!G$46 * 翼型設計!G$46 * 翼型設計!$D48/1000 ) * SQRT( 1 - (2 * 翼型設計!$C48 /翼型設計!$B$19 ) )</f>
        <v>0.82867358576302619</v>
      </c>
      <c r="H48" s="138">
        <f xml:space="preserve"> ( 8 * $C$19 * パラメーター!$D$5 ) / (PI() * 翼型設計!$B$19 * パラメーター!$D$4 * 翼型設計!H$46 * 翼型設計!H$46 * 翼型設計!$D48/1000 ) * SQRT( 1 - (2 * 翼型設計!$C48 /翼型設計!$B$19 ) )</f>
        <v>0.75163137030659966</v>
      </c>
      <c r="I48" s="138">
        <f xml:space="preserve"> ( 8 * $C$19 * パラメーター!$D$5 ) / (PI() * 翼型設計!$B$19 * パラメーター!$D$4 * 翼型設計!I$46 * 翼型設計!I$46 * 翼型設計!$D48/1000 ) * SQRT( 1 - (2 * 翼型設計!$C48 /翼型設計!$B$19 ) )</f>
        <v>0.68485420310993894</v>
      </c>
      <c r="J48" s="138">
        <f xml:space="preserve"> ( 8 * $C$19 * パラメーター!$D$5 ) / (PI() * 翼型設計!$B$19 * パラメーター!$D$4 * 翼型設計!J$46 * 翼型設計!J$46 * 翼型設計!$D48/1000 ) * SQRT( 1 - (2 * 翼型設計!$C48 /翼型設計!$B$19 ) )</f>
        <v>0.57546776789099041</v>
      </c>
      <c r="K48" s="129"/>
      <c r="N48" s="49">
        <v>0.74180959999999996</v>
      </c>
      <c r="O48" s="49">
        <v>6.6596699999999995E-2</v>
      </c>
    </row>
    <row r="49" spans="1:15">
      <c r="B49" s="127" t="s">
        <v>524</v>
      </c>
      <c r="C49" s="141">
        <v>12.5</v>
      </c>
      <c r="D49" s="116">
        <v>300</v>
      </c>
      <c r="E49" s="138">
        <f xml:space="preserve"> ( 8 * $C$19 * パラメーター!$D$5 ) / (PI() * 翼型設計!$B$19 * パラメーター!$D$4 * 翼型設計!E$46 * 翼型設計!E$46 * 翼型設計!$D49/1000 ) * SQRT( 1 - (2 * 翼型設計!$C49 /翼型設計!$B$19 ) )</f>
        <v>1.2345457230016315</v>
      </c>
      <c r="F49" s="138">
        <f xml:space="preserve"> ( 8 * $C$19 * パラメーター!$D$5 ) / (PI() * 翼型設計!$B$19 * パラメーター!$D$4 * 翼型設計!F$46 * 翼型設計!F$46 * 翼型設計!$D49/1000 ) * SQRT( 1 - (2 * 翼型設計!$C49 /翼型設計!$B$19 ) )</f>
        <v>0.97544353422351149</v>
      </c>
      <c r="G49" s="138">
        <f xml:space="preserve"> ( 8 * $C$19 * パラメーター!$D$5 ) / (PI() * 翼型設計!$B$19 * パラメーター!$D$4 * 翼型設計!G$46 * 翼型設計!G$46 * 翼型設計!$D49/1000 ) * SQRT( 1 - (2 * 翼型設計!$C49 /翼型設計!$B$19 ) )</f>
        <v>0.7901092627210442</v>
      </c>
      <c r="H49" s="138">
        <f xml:space="preserve"> ( 8 * $C$19 * パラメーター!$D$5 ) / (PI() * 翼型設計!$B$19 * パラメーター!$D$4 * 翼型設計!H$46 * 翼型設計!H$46 * 翼型設計!$D49/1000 ) * SQRT( 1 - (2 * 翼型設計!$C49 /翼型設計!$B$19 ) )</f>
        <v>0.71665239249074308</v>
      </c>
      <c r="I49" s="138">
        <f xml:space="preserve"> ( 8 * $C$19 * パラメーター!$D$5 ) / (PI() * 翼型設計!$B$19 * パラメーター!$D$4 * 翼型設計!I$46 * 翼型設計!I$46 * 翼型設計!$D49/1000 ) * SQRT( 1 - (2 * 翼型設計!$C49 /翼型設計!$B$19 ) )</f>
        <v>0.65298286175292908</v>
      </c>
      <c r="J49" s="138">
        <f xml:space="preserve"> ( 8 * $C$19 * パラメーター!$D$5 ) / (PI() * 翼型設計!$B$19 * パラメーター!$D$4 * 翼型設計!J$46 * 翼型設計!J$46 * 翼型設計!$D49/1000 ) * SQRT( 1 - (2 * 翼型設計!$C49 /翼型設計!$B$19 ) )</f>
        <v>0.54868698800072513</v>
      </c>
      <c r="K49" s="129"/>
      <c r="N49" s="49">
        <v>0.73127850000000005</v>
      </c>
      <c r="O49" s="49">
        <v>6.9437399999999996E-2</v>
      </c>
    </row>
    <row r="50" spans="1:15">
      <c r="A50" s="89"/>
      <c r="B50" s="89"/>
      <c r="C50" s="89"/>
      <c r="D50" s="89"/>
      <c r="E50" s="89"/>
      <c r="F50" s="89"/>
      <c r="G50" s="89"/>
      <c r="H50" s="89"/>
      <c r="I50" s="89"/>
      <c r="J50" s="89"/>
      <c r="K50" s="118"/>
      <c r="N50" s="49">
        <v>0.72066830000000004</v>
      </c>
      <c r="O50" s="49">
        <v>7.2263400000000005E-2</v>
      </c>
    </row>
    <row r="51" spans="1:15">
      <c r="N51" s="49">
        <v>0.71001340000000002</v>
      </c>
      <c r="O51" s="49">
        <v>7.5112700000000004E-2</v>
      </c>
    </row>
    <row r="52" spans="1:15">
      <c r="B52" s="132" t="s">
        <v>556</v>
      </c>
      <c r="N52" s="49">
        <v>0.69936940000000003</v>
      </c>
      <c r="O52" s="49">
        <v>7.7946500000000002E-2</v>
      </c>
    </row>
    <row r="53" spans="1:15">
      <c r="N53" s="49">
        <v>0.68871550000000004</v>
      </c>
      <c r="O53" s="49">
        <v>8.0705799999999994E-2</v>
      </c>
    </row>
    <row r="54" spans="1:15">
      <c r="N54" s="49">
        <v>0.67800990000000005</v>
      </c>
      <c r="O54" s="49">
        <v>8.3405199999999999E-2</v>
      </c>
    </row>
    <row r="55" spans="1:15" ht="19.5" thickBot="1">
      <c r="B55" s="145" t="s">
        <v>557</v>
      </c>
      <c r="C55" s="145" t="s">
        <v>558</v>
      </c>
      <c r="D55" s="145" t="s">
        <v>559</v>
      </c>
      <c r="E55" s="145" t="s">
        <v>556</v>
      </c>
      <c r="N55" s="49">
        <v>0.66728220000000005</v>
      </c>
      <c r="O55" s="49">
        <v>8.6078500000000002E-2</v>
      </c>
    </row>
    <row r="56" spans="1:15" ht="19.5" thickTop="1">
      <c r="B56" s="144">
        <v>8</v>
      </c>
      <c r="C56" s="144">
        <v>0.05</v>
      </c>
      <c r="D56" s="144">
        <f>C56/B56*100</f>
        <v>0.625</v>
      </c>
      <c r="E56" s="144">
        <f>-8.43 - 2.4*LN(D56/100)</f>
        <v>3.7504171565611841</v>
      </c>
      <c r="N56" s="49">
        <v>0.6565782</v>
      </c>
      <c r="O56" s="49">
        <v>8.8688600000000006E-2</v>
      </c>
    </row>
    <row r="57" spans="1:15">
      <c r="B57" s="49">
        <v>9</v>
      </c>
      <c r="C57" s="49">
        <v>0.05</v>
      </c>
      <c r="D57" s="49">
        <f t="shared" ref="D57:D70" si="0">C57/B57*100</f>
        <v>0.55555555555555558</v>
      </c>
      <c r="E57" s="49">
        <f t="shared" ref="E57:E70" si="1">-8.43 - 2.4*LN(D57/100)</f>
        <v>4.0330964421365056</v>
      </c>
      <c r="N57" s="49">
        <v>0.64587260000000002</v>
      </c>
      <c r="O57" s="49">
        <v>9.1183100000000003E-2</v>
      </c>
    </row>
    <row r="58" spans="1:15">
      <c r="B58" s="49">
        <v>10</v>
      </c>
      <c r="C58" s="49">
        <v>0.05</v>
      </c>
      <c r="D58" s="49">
        <f t="shared" si="0"/>
        <v>0.5</v>
      </c>
      <c r="E58" s="49">
        <f t="shared" si="1"/>
        <v>4.2859616797152871</v>
      </c>
      <c r="N58" s="49">
        <v>0.6351234</v>
      </c>
      <c r="O58" s="49">
        <v>9.3579599999999999E-2</v>
      </c>
    </row>
    <row r="59" spans="1:15">
      <c r="B59" s="49">
        <v>8</v>
      </c>
      <c r="C59" s="49">
        <v>0.04</v>
      </c>
      <c r="D59" s="49">
        <f t="shared" si="0"/>
        <v>0.5</v>
      </c>
      <c r="E59" s="49">
        <f t="shared" si="1"/>
        <v>4.2859616797152871</v>
      </c>
      <c r="N59" s="49">
        <v>0.62435600000000002</v>
      </c>
      <c r="O59" s="49">
        <v>9.5911899999999994E-2</v>
      </c>
    </row>
    <row r="60" spans="1:15">
      <c r="B60" s="49">
        <v>9</v>
      </c>
      <c r="C60" s="49">
        <v>0.04</v>
      </c>
      <c r="D60" s="49">
        <f t="shared" si="0"/>
        <v>0.44444444444444442</v>
      </c>
      <c r="E60" s="49">
        <f t="shared" si="1"/>
        <v>4.5686409652906086</v>
      </c>
      <c r="N60" s="49">
        <v>0.61361010000000005</v>
      </c>
      <c r="O60" s="49">
        <v>9.8147999999999999E-2</v>
      </c>
    </row>
    <row r="61" spans="1:15">
      <c r="B61" s="49">
        <v>10</v>
      </c>
      <c r="C61" s="49">
        <v>0.04</v>
      </c>
      <c r="D61" s="49">
        <f t="shared" si="0"/>
        <v>0.4</v>
      </c>
      <c r="E61" s="49">
        <f t="shared" si="1"/>
        <v>4.82150620286939</v>
      </c>
      <c r="N61" s="49">
        <v>0.60285900000000003</v>
      </c>
      <c r="O61" s="49">
        <v>0.10024370000000001</v>
      </c>
    </row>
    <row r="62" spans="1:15">
      <c r="B62" s="49">
        <v>8</v>
      </c>
      <c r="C62" s="49">
        <v>0.03</v>
      </c>
      <c r="D62" s="49">
        <f t="shared" si="0"/>
        <v>0.375</v>
      </c>
      <c r="E62" s="49">
        <f t="shared" si="1"/>
        <v>4.9763986535995635</v>
      </c>
      <c r="N62" s="49">
        <v>0.59206349999999996</v>
      </c>
      <c r="O62" s="49">
        <v>0.1022207</v>
      </c>
    </row>
    <row r="63" spans="1:15">
      <c r="B63" s="49">
        <v>9</v>
      </c>
      <c r="C63" s="49">
        <v>0.03</v>
      </c>
      <c r="D63" s="49">
        <f t="shared" si="0"/>
        <v>0.33333333333333331</v>
      </c>
      <c r="E63" s="49">
        <f t="shared" si="1"/>
        <v>5.2590779391748814</v>
      </c>
      <c r="N63" s="49">
        <v>0.58124790000000004</v>
      </c>
      <c r="O63" s="49">
        <v>0.1041139</v>
      </c>
    </row>
    <row r="64" spans="1:15">
      <c r="B64" s="49">
        <v>10</v>
      </c>
      <c r="C64" s="49">
        <v>0.03</v>
      </c>
      <c r="D64" s="49">
        <f t="shared" si="0"/>
        <v>0.3</v>
      </c>
      <c r="E64" s="49">
        <f t="shared" si="1"/>
        <v>5.5119431767536664</v>
      </c>
      <c r="N64" s="49">
        <v>0.57044910000000004</v>
      </c>
      <c r="O64" s="49">
        <v>0.1058965</v>
      </c>
    </row>
    <row r="65" spans="2:15">
      <c r="B65" s="49">
        <v>8</v>
      </c>
      <c r="C65" s="49">
        <v>0.02</v>
      </c>
      <c r="D65" s="49">
        <f t="shared" si="0"/>
        <v>0.25</v>
      </c>
      <c r="E65" s="49">
        <f t="shared" si="1"/>
        <v>5.949514913059156</v>
      </c>
      <c r="N65" s="49">
        <v>0.5596428</v>
      </c>
      <c r="O65" s="49">
        <v>0.10753070000000001</v>
      </c>
    </row>
    <row r="66" spans="2:15">
      <c r="B66" s="49">
        <v>9</v>
      </c>
      <c r="C66" s="49">
        <v>0.02</v>
      </c>
      <c r="D66" s="49">
        <f t="shared" si="0"/>
        <v>0.22222222222222221</v>
      </c>
      <c r="E66" s="49">
        <f t="shared" si="1"/>
        <v>6.2321941986344775</v>
      </c>
      <c r="N66" s="49">
        <v>0.54879370000000005</v>
      </c>
      <c r="O66" s="49">
        <v>0.1090405</v>
      </c>
    </row>
    <row r="67" spans="2:15">
      <c r="B67" s="49">
        <v>10</v>
      </c>
      <c r="C67" s="49">
        <v>0.02</v>
      </c>
      <c r="D67" s="49">
        <f t="shared" si="0"/>
        <v>0.2</v>
      </c>
      <c r="E67" s="49">
        <f t="shared" si="1"/>
        <v>6.485059436213259</v>
      </c>
      <c r="N67" s="49">
        <v>0.53792689999999999</v>
      </c>
      <c r="O67" s="49">
        <v>0.1104612</v>
      </c>
    </row>
    <row r="68" spans="2:15">
      <c r="B68" s="49">
        <v>8</v>
      </c>
      <c r="C68" s="49">
        <v>0.01</v>
      </c>
      <c r="D68" s="49">
        <f t="shared" si="0"/>
        <v>0.125</v>
      </c>
      <c r="E68" s="49">
        <f t="shared" si="1"/>
        <v>7.6130681464030232</v>
      </c>
      <c r="N68" s="49">
        <v>0.52707899999999996</v>
      </c>
      <c r="O68" s="49">
        <v>0.1117691</v>
      </c>
    </row>
    <row r="69" spans="2:15">
      <c r="B69" s="49">
        <v>9</v>
      </c>
      <c r="C69" s="49">
        <v>0.01</v>
      </c>
      <c r="D69" s="49">
        <f t="shared" si="0"/>
        <v>0.1111111111111111</v>
      </c>
      <c r="E69" s="49">
        <f t="shared" si="1"/>
        <v>7.8957474319783465</v>
      </c>
      <c r="N69" s="49">
        <v>0.51622800000000002</v>
      </c>
      <c r="O69" s="49">
        <v>0.1129308</v>
      </c>
    </row>
    <row r="70" spans="2:15">
      <c r="B70" s="49">
        <v>10</v>
      </c>
      <c r="C70" s="49">
        <v>0.01</v>
      </c>
      <c r="D70" s="49">
        <f t="shared" si="0"/>
        <v>0.1</v>
      </c>
      <c r="E70" s="49">
        <f t="shared" si="1"/>
        <v>8.1486126695571279</v>
      </c>
      <c r="N70" s="49">
        <v>0.50534250000000003</v>
      </c>
      <c r="O70" s="49">
        <v>0.1139708</v>
      </c>
    </row>
    <row r="71" spans="2:15">
      <c r="N71" s="49">
        <v>0.49444909999999997</v>
      </c>
      <c r="O71" s="49">
        <v>0.1149236</v>
      </c>
    </row>
    <row r="72" spans="2:15">
      <c r="N72" s="49">
        <v>0.48358299999999999</v>
      </c>
      <c r="O72" s="49">
        <v>0.1157673</v>
      </c>
    </row>
    <row r="73" spans="2:15">
      <c r="B73" t="s">
        <v>1160</v>
      </c>
      <c r="N73" s="49">
        <v>0.4727248</v>
      </c>
      <c r="O73" s="49">
        <v>0.11647159999999999</v>
      </c>
    </row>
    <row r="74" spans="2:15">
      <c r="B74" s="146">
        <v>1.46</v>
      </c>
      <c r="C74" s="146">
        <v>1.71</v>
      </c>
      <c r="N74" s="49">
        <v>0.46184639999999999</v>
      </c>
      <c r="O74" s="49">
        <v>0.11706179999999999</v>
      </c>
    </row>
    <row r="75" spans="2:15">
      <c r="B75" t="s">
        <v>335</v>
      </c>
      <c r="N75" s="49">
        <v>0.45097579999999998</v>
      </c>
      <c r="O75" s="49">
        <v>0.11757140000000001</v>
      </c>
    </row>
    <row r="76" spans="2:15">
      <c r="B76">
        <v>34</v>
      </c>
      <c r="N76" s="49">
        <v>0.4401485</v>
      </c>
      <c r="O76" s="49">
        <v>0.1179798</v>
      </c>
    </row>
    <row r="77" spans="2:15">
      <c r="B77" t="s">
        <v>273</v>
      </c>
      <c r="N77" s="49">
        <v>0.42934820000000001</v>
      </c>
      <c r="O77" s="49">
        <v>0.1182583</v>
      </c>
    </row>
    <row r="78" spans="2:15">
      <c r="B78">
        <v>20</v>
      </c>
      <c r="D78" t="s">
        <v>560</v>
      </c>
      <c r="N78" s="49">
        <v>0.4185508</v>
      </c>
      <c r="O78" s="49">
        <v>0.1184306</v>
      </c>
    </row>
    <row r="79" spans="2:15">
      <c r="B79" t="s">
        <v>264</v>
      </c>
      <c r="D79">
        <f>(B80/(B78*パラメーター!D4))*(1/翼型設計!B74-1/翼型設計!C74)
/((1/(PI()*B76))*((B74+C74)/2))</f>
        <v>35.122090073411549</v>
      </c>
      <c r="E79" t="s">
        <v>1162</v>
      </c>
      <c r="N79" s="49">
        <v>0.40778409999999998</v>
      </c>
      <c r="O79" s="49">
        <v>0.1185264</v>
      </c>
    </row>
    <row r="80" spans="2:15">
      <c r="B80">
        <v>120</v>
      </c>
      <c r="N80" s="49">
        <v>0.39708209999999999</v>
      </c>
      <c r="O80" s="49">
        <v>0.1185242</v>
      </c>
    </row>
    <row r="81" spans="2:15">
      <c r="N81" s="49">
        <v>0.38642779999999999</v>
      </c>
      <c r="O81" s="49">
        <v>0.1183973</v>
      </c>
    </row>
    <row r="82" spans="2:15">
      <c r="N82" s="49">
        <v>0.3757993</v>
      </c>
      <c r="O82" s="49">
        <v>0.1181686</v>
      </c>
    </row>
    <row r="83" spans="2:15">
      <c r="B83" t="s">
        <v>1161</v>
      </c>
      <c r="C83">
        <f>1/2*1.156*(6^2)*B78*C74*C74/PI()/B76</f>
        <v>11.392624043445872</v>
      </c>
      <c r="E83">
        <f>C81/C83</f>
        <v>0</v>
      </c>
      <c r="N83" s="49">
        <v>0.36522379999999999</v>
      </c>
      <c r="O83" s="49">
        <v>0.11786580000000001</v>
      </c>
    </row>
    <row r="84" spans="2:15">
      <c r="B84" t="s">
        <v>1167</v>
      </c>
      <c r="N84" s="49">
        <v>0.35473270000000001</v>
      </c>
      <c r="O84" s="49">
        <v>0.1174678</v>
      </c>
    </row>
    <row r="85" spans="2:15">
      <c r="N85" s="49">
        <v>0.34430929999999998</v>
      </c>
      <c r="O85" s="49">
        <v>0.1169502</v>
      </c>
    </row>
    <row r="86" spans="2:15">
      <c r="N86" s="49">
        <v>0.33393349999999999</v>
      </c>
      <c r="O86" s="49">
        <v>0.1163356</v>
      </c>
    </row>
    <row r="87" spans="2:15">
      <c r="N87" s="49">
        <v>0.32363180000000003</v>
      </c>
      <c r="O87" s="49">
        <v>0.11565</v>
      </c>
    </row>
    <row r="88" spans="2:15">
      <c r="N88" s="49">
        <v>0.31343330000000003</v>
      </c>
      <c r="O88" s="49">
        <v>0.1148733</v>
      </c>
    </row>
    <row r="89" spans="2:15">
      <c r="N89" s="49">
        <v>0.30332189999999998</v>
      </c>
      <c r="O89" s="49">
        <v>0.1139833</v>
      </c>
    </row>
    <row r="90" spans="2:15">
      <c r="N90" s="49">
        <v>0.29327930000000002</v>
      </c>
      <c r="O90" s="49">
        <v>0.1130024</v>
      </c>
    </row>
    <row r="91" spans="2:15">
      <c r="N91" s="49">
        <v>0.28333120000000001</v>
      </c>
      <c r="O91" s="49">
        <v>0.111955</v>
      </c>
    </row>
    <row r="92" spans="2:15">
      <c r="N92" s="49">
        <v>0.27350459999999999</v>
      </c>
      <c r="O92" s="49">
        <v>0.1108218</v>
      </c>
    </row>
    <row r="93" spans="2:15">
      <c r="N93" s="49">
        <v>0.26378370000000001</v>
      </c>
      <c r="O93" s="49">
        <v>0.10958320000000001</v>
      </c>
    </row>
    <row r="94" spans="2:15">
      <c r="N94" s="49">
        <v>0.2541523</v>
      </c>
      <c r="O94" s="49">
        <v>0.10826139999999999</v>
      </c>
    </row>
    <row r="95" spans="2:15">
      <c r="N95" s="49">
        <v>0.2446353</v>
      </c>
      <c r="O95" s="49">
        <v>0.1068791</v>
      </c>
    </row>
    <row r="96" spans="2:15">
      <c r="N96" s="49">
        <v>0.23525769999999999</v>
      </c>
      <c r="O96" s="49">
        <v>0.1054184</v>
      </c>
    </row>
    <row r="97" spans="14:15">
      <c r="N97" s="49">
        <v>0.2260045</v>
      </c>
      <c r="O97" s="49">
        <v>0.1038618</v>
      </c>
    </row>
    <row r="98" spans="14:15">
      <c r="N98" s="49">
        <v>0.21686140000000001</v>
      </c>
      <c r="O98" s="49">
        <v>0.1022314</v>
      </c>
    </row>
    <row r="99" spans="14:15">
      <c r="N99" s="49">
        <v>0.2078527</v>
      </c>
      <c r="O99" s="49">
        <v>0.10054829999999999</v>
      </c>
    </row>
    <row r="100" spans="14:15">
      <c r="N100" s="49">
        <v>0.19900180000000001</v>
      </c>
      <c r="O100" s="49">
        <v>9.8795400000000005E-2</v>
      </c>
    </row>
    <row r="101" spans="14:15">
      <c r="N101" s="49">
        <v>0.19029460000000001</v>
      </c>
      <c r="O101" s="49">
        <v>9.6957799999999997E-2</v>
      </c>
    </row>
    <row r="102" spans="14:15">
      <c r="N102" s="49">
        <v>0.1817192</v>
      </c>
      <c r="O102" s="49">
        <v>9.5056799999999997E-2</v>
      </c>
    </row>
    <row r="103" spans="14:15">
      <c r="N103" s="49">
        <v>0.17330000000000001</v>
      </c>
      <c r="O103" s="49">
        <v>9.31115E-2</v>
      </c>
    </row>
    <row r="104" spans="14:15">
      <c r="N104" s="49">
        <v>0.16505909999999999</v>
      </c>
      <c r="O104" s="49">
        <v>9.1105400000000003E-2</v>
      </c>
    </row>
    <row r="105" spans="14:15">
      <c r="N105" s="49">
        <v>0.15698419999999999</v>
      </c>
      <c r="O105" s="49">
        <v>8.9024000000000006E-2</v>
      </c>
    </row>
    <row r="106" spans="14:15">
      <c r="N106" s="49">
        <v>0.14906549999999999</v>
      </c>
      <c r="O106" s="49">
        <v>8.6885799999999999E-2</v>
      </c>
    </row>
    <row r="107" spans="14:15">
      <c r="N107" s="49">
        <v>0.1413259</v>
      </c>
      <c r="O107" s="49">
        <v>8.47054E-2</v>
      </c>
    </row>
    <row r="108" spans="14:15">
      <c r="N108" s="49">
        <v>0.13378290000000001</v>
      </c>
      <c r="O108" s="49">
        <v>8.2464700000000002E-2</v>
      </c>
    </row>
    <row r="109" spans="14:15">
      <c r="N109" s="49">
        <v>0.12642220000000001</v>
      </c>
      <c r="O109" s="49">
        <v>8.0149799999999993E-2</v>
      </c>
    </row>
    <row r="110" spans="14:15">
      <c r="N110" s="49">
        <v>0.119232</v>
      </c>
      <c r="O110" s="49">
        <v>7.7777799999999994E-2</v>
      </c>
    </row>
    <row r="111" spans="14:15">
      <c r="N111" s="49">
        <v>0.1122297</v>
      </c>
      <c r="O111" s="49">
        <v>7.5362299999999993E-2</v>
      </c>
    </row>
    <row r="112" spans="14:15">
      <c r="N112" s="49">
        <v>0.1054278</v>
      </c>
      <c r="O112" s="49">
        <v>7.2888499999999995E-2</v>
      </c>
    </row>
    <row r="113" spans="14:15">
      <c r="N113" s="49">
        <v>9.8809599999999997E-2</v>
      </c>
      <c r="O113" s="49">
        <v>7.0347599999999996E-2</v>
      </c>
    </row>
    <row r="114" spans="14:15">
      <c r="N114" s="49">
        <v>9.2363200000000006E-2</v>
      </c>
      <c r="O114" s="49">
        <v>6.7759700000000006E-2</v>
      </c>
    </row>
    <row r="115" spans="14:15">
      <c r="N115" s="49">
        <v>8.6104600000000003E-2</v>
      </c>
      <c r="O115" s="49">
        <v>6.5141000000000004E-2</v>
      </c>
    </row>
    <row r="116" spans="14:15">
      <c r="N116" s="49">
        <v>8.0044699999999996E-2</v>
      </c>
      <c r="O116" s="49">
        <v>6.2482299999999998E-2</v>
      </c>
    </row>
    <row r="117" spans="14:15">
      <c r="N117" s="49">
        <v>7.4169499999999999E-2</v>
      </c>
      <c r="O117" s="49">
        <v>5.978E-2</v>
      </c>
    </row>
    <row r="118" spans="14:15">
      <c r="N118" s="49">
        <v>6.8471400000000002E-2</v>
      </c>
      <c r="O118" s="49">
        <v>5.7056999999999997E-2</v>
      </c>
    </row>
    <row r="119" spans="14:15">
      <c r="N119" s="49">
        <v>6.2968899999999994E-2</v>
      </c>
      <c r="O119" s="49">
        <v>5.4330499999999997E-2</v>
      </c>
    </row>
    <row r="120" spans="14:15">
      <c r="N120" s="49">
        <v>5.7675700000000003E-2</v>
      </c>
      <c r="O120" s="49">
        <v>5.1593100000000003E-2</v>
      </c>
    </row>
    <row r="121" spans="14:15">
      <c r="N121" s="49">
        <v>5.2582499999999997E-2</v>
      </c>
      <c r="O121" s="49">
        <v>4.8843400000000002E-2</v>
      </c>
    </row>
    <row r="122" spans="14:15">
      <c r="N122" s="49">
        <v>4.7687800000000002E-2</v>
      </c>
      <c r="O122" s="49">
        <v>4.6103199999999997E-2</v>
      </c>
    </row>
    <row r="123" spans="14:15">
      <c r="N123" s="49">
        <v>4.3015699999999997E-2</v>
      </c>
      <c r="O123" s="49">
        <v>4.3387200000000001E-2</v>
      </c>
    </row>
    <row r="124" spans="14:15">
      <c r="N124" s="49">
        <v>3.8587000000000003E-2</v>
      </c>
      <c r="O124" s="49">
        <v>4.0682799999999998E-2</v>
      </c>
    </row>
    <row r="125" spans="14:15">
      <c r="N125" s="49">
        <v>3.4399100000000002E-2</v>
      </c>
      <c r="O125" s="49">
        <v>3.7975000000000002E-2</v>
      </c>
    </row>
    <row r="126" spans="14:15">
      <c r="N126" s="49">
        <v>3.04438E-2</v>
      </c>
      <c r="O126" s="49">
        <v>3.5263599999999999E-2</v>
      </c>
    </row>
    <row r="127" spans="14:15">
      <c r="N127" s="49">
        <v>2.6717299999999999E-2</v>
      </c>
      <c r="O127" s="49">
        <v>3.2550599999999999E-2</v>
      </c>
    </row>
    <row r="128" spans="14:15">
      <c r="N128" s="49">
        <v>2.3208300000000001E-2</v>
      </c>
      <c r="O128" s="49">
        <v>2.98403E-2</v>
      </c>
    </row>
    <row r="129" spans="14:15">
      <c r="N129" s="49">
        <v>1.9908100000000001E-2</v>
      </c>
      <c r="O129" s="49">
        <v>2.7156199999999998E-2</v>
      </c>
    </row>
    <row r="130" spans="14:15">
      <c r="N130" s="49">
        <v>1.68372E-2</v>
      </c>
      <c r="O130" s="49">
        <v>2.4524399999999998E-2</v>
      </c>
    </row>
    <row r="131" spans="14:15">
      <c r="N131" s="49">
        <v>1.4026500000000001E-2</v>
      </c>
      <c r="O131" s="49">
        <v>2.1937100000000001E-2</v>
      </c>
    </row>
    <row r="132" spans="14:15">
      <c r="N132" s="49">
        <v>1.1471200000000001E-2</v>
      </c>
      <c r="O132" s="49">
        <v>1.9366700000000001E-2</v>
      </c>
    </row>
    <row r="133" spans="14:15">
      <c r="N133" s="49">
        <v>9.1374000000000004E-3</v>
      </c>
      <c r="O133" s="49">
        <v>1.68214E-2</v>
      </c>
    </row>
    <row r="134" spans="14:15">
      <c r="N134" s="49">
        <v>7.0238999999999996E-3</v>
      </c>
      <c r="O134" s="49">
        <v>1.4349499999999999E-2</v>
      </c>
    </row>
    <row r="135" spans="14:15">
      <c r="N135" s="49">
        <v>5.1802999999999997E-3</v>
      </c>
      <c r="O135" s="49">
        <v>1.19743E-2</v>
      </c>
    </row>
    <row r="136" spans="14:15">
      <c r="N136" s="49">
        <v>3.6470000000000001E-3</v>
      </c>
      <c r="O136" s="49">
        <v>9.6635000000000002E-3</v>
      </c>
    </row>
    <row r="137" spans="14:15">
      <c r="N137" s="49">
        <v>2.4126999999999998E-3</v>
      </c>
      <c r="O137" s="49">
        <v>7.3749999999999996E-3</v>
      </c>
    </row>
    <row r="138" spans="14:15">
      <c r="N138" s="49">
        <v>1.4434000000000001E-3</v>
      </c>
      <c r="O138" s="49">
        <v>5.1031000000000002E-3</v>
      </c>
    </row>
    <row r="139" spans="14:15">
      <c r="N139" s="49">
        <v>7.2159999999999998E-4</v>
      </c>
      <c r="O139" s="49">
        <v>2.8671999999999999E-3</v>
      </c>
    </row>
    <row r="140" spans="14:15">
      <c r="N140" s="49">
        <v>2.4469999999999998E-4</v>
      </c>
      <c r="O140" s="49">
        <v>6.8219999999999999E-4</v>
      </c>
    </row>
    <row r="141" spans="14:15">
      <c r="N141" s="49">
        <v>4.5000000000000001E-6</v>
      </c>
      <c r="O141" s="49">
        <v>-1.4369000000000001E-3</v>
      </c>
    </row>
    <row r="142" spans="14:15">
      <c r="N142" s="49">
        <v>0</v>
      </c>
      <c r="O142" s="49">
        <v>-3.4562999999999998E-3</v>
      </c>
    </row>
    <row r="143" spans="14:15">
      <c r="N143" s="49">
        <v>2.6160000000000002E-4</v>
      </c>
      <c r="O143" s="49">
        <v>-5.3403000000000001E-3</v>
      </c>
    </row>
    <row r="144" spans="14:15">
      <c r="N144" s="49">
        <v>8.4159999999999997E-4</v>
      </c>
      <c r="O144" s="49">
        <v>-7.0845999999999999E-3</v>
      </c>
    </row>
    <row r="145" spans="14:15">
      <c r="N145" s="49">
        <v>1.7786E-3</v>
      </c>
      <c r="O145" s="49">
        <v>-8.7230999999999993E-3</v>
      </c>
    </row>
    <row r="146" spans="14:15">
      <c r="N146" s="49">
        <v>3.0745999999999998E-3</v>
      </c>
      <c r="O146" s="49">
        <v>-1.0301899999999999E-2</v>
      </c>
    </row>
    <row r="147" spans="14:15">
      <c r="N147" s="49">
        <v>4.7004000000000004E-3</v>
      </c>
      <c r="O147" s="49">
        <v>-1.1846199999999999E-2</v>
      </c>
    </row>
    <row r="148" spans="14:15">
      <c r="N148" s="49">
        <v>6.6302000000000002E-3</v>
      </c>
      <c r="O148" s="49">
        <v>-1.33472E-2</v>
      </c>
    </row>
    <row r="149" spans="14:15">
      <c r="N149" s="49">
        <v>8.8643999999999997E-3</v>
      </c>
      <c r="O149" s="49">
        <v>-1.4789E-2</v>
      </c>
    </row>
    <row r="150" spans="14:15">
      <c r="N150" s="49">
        <v>1.1411299999999999E-2</v>
      </c>
      <c r="O150" s="49">
        <v>-1.6174500000000001E-2</v>
      </c>
    </row>
    <row r="151" spans="14:15">
      <c r="N151" s="49">
        <v>1.42647E-2</v>
      </c>
      <c r="O151" s="49">
        <v>-1.7510899999999999E-2</v>
      </c>
    </row>
    <row r="152" spans="14:15">
      <c r="N152" s="49">
        <v>1.7417100000000001E-2</v>
      </c>
      <c r="O152" s="49">
        <v>-1.8791599999999999E-2</v>
      </c>
    </row>
    <row r="153" spans="14:15">
      <c r="N153" s="49">
        <v>2.08764E-2</v>
      </c>
      <c r="O153" s="49">
        <v>-2.0011000000000001E-2</v>
      </c>
    </row>
    <row r="154" spans="14:15">
      <c r="N154" s="49">
        <v>2.4648099999999999E-2</v>
      </c>
      <c r="O154" s="49">
        <v>-2.11813E-2</v>
      </c>
    </row>
    <row r="155" spans="14:15">
      <c r="N155" s="49">
        <v>2.8718500000000001E-2</v>
      </c>
      <c r="O155" s="49">
        <v>-2.2312499999999999E-2</v>
      </c>
    </row>
    <row r="156" spans="14:15">
      <c r="N156" s="49">
        <v>3.30745E-2</v>
      </c>
      <c r="O156" s="49">
        <v>-2.33949E-2</v>
      </c>
    </row>
    <row r="157" spans="14:15">
      <c r="N157" s="49">
        <v>3.7722600000000002E-2</v>
      </c>
      <c r="O157" s="49">
        <v>-2.4419699999999999E-2</v>
      </c>
    </row>
    <row r="158" spans="14:15">
      <c r="N158" s="49">
        <v>4.2667499999999997E-2</v>
      </c>
      <c r="O158" s="49">
        <v>-2.53975E-2</v>
      </c>
    </row>
    <row r="159" spans="14:15">
      <c r="N159" s="49">
        <v>4.7893499999999999E-2</v>
      </c>
      <c r="O159" s="49">
        <v>-2.6335000000000001E-2</v>
      </c>
    </row>
    <row r="160" spans="14:15">
      <c r="N160" s="49">
        <v>5.3389899999999997E-2</v>
      </c>
      <c r="O160" s="49">
        <v>-2.7218699999999998E-2</v>
      </c>
    </row>
    <row r="161" spans="14:15">
      <c r="N161" s="49">
        <v>5.9167900000000002E-2</v>
      </c>
      <c r="O161" s="49">
        <v>-2.8040499999999999E-2</v>
      </c>
    </row>
    <row r="162" spans="14:15">
      <c r="N162" s="49">
        <v>6.5231399999999995E-2</v>
      </c>
      <c r="O162" s="49">
        <v>-2.8814900000000001E-2</v>
      </c>
    </row>
    <row r="163" spans="14:15">
      <c r="N163" s="49">
        <v>7.1561299999999994E-2</v>
      </c>
      <c r="O163" s="49">
        <v>-2.95494E-2</v>
      </c>
    </row>
    <row r="164" spans="14:15">
      <c r="N164" s="49">
        <v>7.8146499999999994E-2</v>
      </c>
      <c r="O164" s="49">
        <v>-3.02271E-2</v>
      </c>
    </row>
    <row r="165" spans="14:15">
      <c r="N165" s="49">
        <v>8.5000199999999998E-2</v>
      </c>
      <c r="O165" s="49">
        <v>-3.0840699999999999E-2</v>
      </c>
    </row>
    <row r="166" spans="14:15">
      <c r="N166" s="49">
        <v>9.2125200000000004E-2</v>
      </c>
      <c r="O166" s="49">
        <v>-3.14071E-2</v>
      </c>
    </row>
    <row r="167" spans="14:15">
      <c r="N167" s="49">
        <v>9.9498600000000006E-2</v>
      </c>
      <c r="O167" s="49">
        <v>-3.19317E-2</v>
      </c>
    </row>
    <row r="168" spans="14:15">
      <c r="N168" s="49">
        <v>0.1071111</v>
      </c>
      <c r="O168" s="49">
        <v>-3.2393400000000003E-2</v>
      </c>
    </row>
    <row r="169" spans="14:15">
      <c r="N169" s="49">
        <v>0.11498079999999999</v>
      </c>
      <c r="O169" s="49">
        <v>-3.2785700000000001E-2</v>
      </c>
    </row>
    <row r="170" spans="14:15">
      <c r="N170" s="49">
        <v>0.1231109</v>
      </c>
      <c r="O170" s="49">
        <v>-3.3129899999999997E-2</v>
      </c>
    </row>
    <row r="171" spans="14:15">
      <c r="N171" s="49">
        <v>0.13147690000000001</v>
      </c>
      <c r="O171" s="49">
        <v>-3.3432200000000002E-2</v>
      </c>
    </row>
    <row r="172" spans="14:15">
      <c r="N172" s="49">
        <v>0.14007159999999999</v>
      </c>
      <c r="O172" s="49">
        <v>-3.3671399999999997E-2</v>
      </c>
    </row>
    <row r="173" spans="14:15">
      <c r="N173" s="49">
        <v>0.1489154</v>
      </c>
      <c r="O173" s="49">
        <v>-3.3846500000000002E-2</v>
      </c>
    </row>
    <row r="174" spans="14:15">
      <c r="N174" s="49">
        <v>0.15800610000000001</v>
      </c>
      <c r="O174" s="49">
        <v>-3.3986599999999999E-2</v>
      </c>
    </row>
    <row r="175" spans="14:15">
      <c r="N175" s="49">
        <v>0.16730909999999999</v>
      </c>
      <c r="O175" s="49">
        <v>-3.4097500000000003E-2</v>
      </c>
    </row>
    <row r="176" spans="14:15">
      <c r="N176" s="49">
        <v>0.17681340000000001</v>
      </c>
      <c r="O176" s="49">
        <v>-3.41505E-2</v>
      </c>
    </row>
    <row r="177" spans="14:15">
      <c r="N177" s="49">
        <v>0.18654190000000001</v>
      </c>
      <c r="O177" s="49">
        <v>-3.4141299999999999E-2</v>
      </c>
    </row>
    <row r="178" spans="14:15">
      <c r="N178" s="49">
        <v>0.19649330000000001</v>
      </c>
      <c r="O178" s="49">
        <v>-3.4099299999999999E-2</v>
      </c>
    </row>
    <row r="179" spans="14:15">
      <c r="N179" s="49">
        <v>0.2066318</v>
      </c>
      <c r="O179" s="49">
        <v>-3.4028700000000002E-2</v>
      </c>
    </row>
    <row r="180" spans="14:15">
      <c r="N180" s="49">
        <v>0.21694849999999999</v>
      </c>
      <c r="O180" s="49">
        <v>-3.3898999999999999E-2</v>
      </c>
    </row>
    <row r="181" spans="14:15">
      <c r="N181" s="49">
        <v>0.22746959999999999</v>
      </c>
      <c r="O181" s="49">
        <v>-3.3708200000000001E-2</v>
      </c>
    </row>
    <row r="182" spans="14:15">
      <c r="N182" s="49">
        <v>0.23819100000000001</v>
      </c>
      <c r="O182" s="49">
        <v>-3.3489100000000001E-2</v>
      </c>
    </row>
    <row r="183" spans="14:15">
      <c r="N183" s="49">
        <v>0.24907360000000001</v>
      </c>
      <c r="O183" s="49">
        <v>-3.3244099999999999E-2</v>
      </c>
    </row>
    <row r="184" spans="14:15">
      <c r="N184" s="49">
        <v>0.26011050000000002</v>
      </c>
      <c r="O184" s="49">
        <v>-3.2939400000000001E-2</v>
      </c>
    </row>
    <row r="185" spans="14:15">
      <c r="N185" s="49">
        <v>0.27133079999999998</v>
      </c>
      <c r="O185" s="49">
        <v>-3.2575100000000003E-2</v>
      </c>
    </row>
    <row r="186" spans="14:15">
      <c r="N186" s="49">
        <v>0.28272890000000001</v>
      </c>
      <c r="O186" s="49">
        <v>-3.21877E-2</v>
      </c>
    </row>
    <row r="187" spans="14:15">
      <c r="N187" s="49">
        <v>0.29426219999999997</v>
      </c>
      <c r="O187" s="49">
        <v>-3.1777199999999999E-2</v>
      </c>
    </row>
    <row r="188" spans="14:15">
      <c r="N188" s="49">
        <v>0.3059268</v>
      </c>
      <c r="O188" s="49">
        <v>-3.1307300000000003E-2</v>
      </c>
    </row>
    <row r="189" spans="14:15">
      <c r="N189" s="49">
        <v>0.31775579999999998</v>
      </c>
      <c r="O189" s="49">
        <v>-3.0781200000000002E-2</v>
      </c>
    </row>
    <row r="190" spans="14:15">
      <c r="N190" s="49">
        <v>0.32974150000000002</v>
      </c>
      <c r="O190" s="49">
        <v>-3.02399E-2</v>
      </c>
    </row>
    <row r="191" spans="14:15">
      <c r="N191" s="49">
        <v>0.3418388</v>
      </c>
      <c r="O191" s="49">
        <v>-2.96831E-2</v>
      </c>
    </row>
    <row r="192" spans="14:15">
      <c r="N192" s="49">
        <v>0.35404600000000003</v>
      </c>
      <c r="O192" s="49">
        <v>-2.9073999999999999E-2</v>
      </c>
    </row>
    <row r="193" spans="14:15">
      <c r="N193" s="49">
        <v>0.36639729999999998</v>
      </c>
      <c r="O193" s="49">
        <v>-2.8421100000000001E-2</v>
      </c>
    </row>
    <row r="194" spans="14:15">
      <c r="N194" s="49">
        <v>0.37887959999999998</v>
      </c>
      <c r="O194" s="49">
        <v>-2.7770599999999999E-2</v>
      </c>
    </row>
    <row r="195" spans="14:15">
      <c r="N195" s="49">
        <v>0.3914417</v>
      </c>
      <c r="O195" s="49">
        <v>-2.7120200000000001E-2</v>
      </c>
    </row>
    <row r="196" spans="14:15">
      <c r="N196" s="49">
        <v>0.40408169999999999</v>
      </c>
      <c r="O196" s="49">
        <v>-2.64297E-2</v>
      </c>
    </row>
    <row r="197" spans="14:15">
      <c r="N197" s="49">
        <v>0.41683409999999999</v>
      </c>
      <c r="O197" s="49">
        <v>-2.5710299999999998E-2</v>
      </c>
    </row>
    <row r="198" spans="14:15">
      <c r="N198" s="49">
        <v>0.42968050000000002</v>
      </c>
      <c r="O198" s="49">
        <v>-2.5009300000000002E-2</v>
      </c>
    </row>
    <row r="199" spans="14:15">
      <c r="N199" s="49">
        <v>0.44256519999999999</v>
      </c>
      <c r="O199" s="49">
        <v>-2.4319299999999999E-2</v>
      </c>
    </row>
    <row r="200" spans="14:15">
      <c r="N200" s="49">
        <v>0.45548860000000002</v>
      </c>
      <c r="O200" s="49">
        <v>-2.3595999999999999E-2</v>
      </c>
    </row>
    <row r="201" spans="14:15">
      <c r="N201" s="49">
        <v>0.46848719999999999</v>
      </c>
      <c r="O201" s="49">
        <v>-2.2851699999999999E-2</v>
      </c>
    </row>
    <row r="202" spans="14:15">
      <c r="N202" s="49">
        <v>0.48153849999999998</v>
      </c>
      <c r="O202" s="49">
        <v>-2.21342E-2</v>
      </c>
    </row>
    <row r="203" spans="14:15">
      <c r="N203" s="49">
        <v>0.49458570000000002</v>
      </c>
      <c r="O203" s="49">
        <v>-2.1429400000000001E-2</v>
      </c>
    </row>
    <row r="204" spans="14:15">
      <c r="N204" s="49">
        <v>0.50763550000000002</v>
      </c>
      <c r="O204" s="49">
        <v>-2.0689699999999998E-2</v>
      </c>
    </row>
    <row r="205" spans="14:15">
      <c r="N205" s="49">
        <v>0.52072879999999999</v>
      </c>
      <c r="O205" s="49">
        <v>-1.99318E-2</v>
      </c>
    </row>
    <row r="206" spans="14:15">
      <c r="N206" s="49">
        <v>0.53384030000000005</v>
      </c>
      <c r="O206" s="49">
        <v>-1.92067E-2</v>
      </c>
    </row>
    <row r="207" spans="14:15">
      <c r="N207" s="49">
        <v>0.54691160000000005</v>
      </c>
      <c r="O207" s="49">
        <v>-1.8497900000000001E-2</v>
      </c>
    </row>
    <row r="208" spans="14:15">
      <c r="N208" s="49">
        <v>0.55995280000000003</v>
      </c>
      <c r="O208" s="49">
        <v>-1.7756600000000001E-2</v>
      </c>
    </row>
    <row r="209" spans="14:15">
      <c r="N209" s="49">
        <v>0.57300609999999996</v>
      </c>
      <c r="O209" s="49">
        <v>-1.70043E-2</v>
      </c>
    </row>
    <row r="210" spans="14:15">
      <c r="N210" s="49">
        <v>0.58604149999999999</v>
      </c>
      <c r="O210" s="49">
        <v>-1.6293100000000001E-2</v>
      </c>
    </row>
    <row r="211" spans="14:15">
      <c r="N211" s="49">
        <v>0.59899899999999995</v>
      </c>
      <c r="O211" s="49">
        <v>-1.56031E-2</v>
      </c>
    </row>
    <row r="212" spans="14:15">
      <c r="N212" s="49">
        <v>0.61189300000000002</v>
      </c>
      <c r="O212" s="49">
        <v>-1.4883499999999999E-2</v>
      </c>
    </row>
    <row r="213" spans="14:15">
      <c r="N213" s="49">
        <v>0.6247665</v>
      </c>
      <c r="O213" s="49">
        <v>-1.4160499999999999E-2</v>
      </c>
    </row>
    <row r="214" spans="14:15">
      <c r="N214" s="49">
        <v>0.63758510000000002</v>
      </c>
      <c r="O214" s="49">
        <v>-1.3487499999999999E-2</v>
      </c>
    </row>
    <row r="215" spans="14:15">
      <c r="N215" s="49">
        <v>0.65028750000000002</v>
      </c>
      <c r="O215" s="49">
        <v>-1.28396E-2</v>
      </c>
    </row>
    <row r="216" spans="14:15">
      <c r="N216" s="49">
        <v>0.6628925</v>
      </c>
      <c r="O216" s="49">
        <v>-1.21656E-2</v>
      </c>
    </row>
    <row r="217" spans="14:15">
      <c r="N217" s="49">
        <v>0.67544369999999998</v>
      </c>
      <c r="O217" s="49">
        <v>-1.14956E-2</v>
      </c>
    </row>
    <row r="218" spans="14:15">
      <c r="N218" s="49">
        <v>0.68790220000000002</v>
      </c>
      <c r="O218" s="49">
        <v>-1.08839E-2</v>
      </c>
    </row>
    <row r="219" spans="14:15">
      <c r="N219" s="49">
        <v>0.70020590000000005</v>
      </c>
      <c r="O219" s="49">
        <v>-1.0300800000000001E-2</v>
      </c>
    </row>
    <row r="220" spans="14:15">
      <c r="N220" s="49">
        <v>0.71237850000000003</v>
      </c>
      <c r="O220" s="49">
        <v>-9.6941000000000006E-3</v>
      </c>
    </row>
    <row r="221" spans="14:15">
      <c r="N221" s="49">
        <v>0.72446379999999999</v>
      </c>
      <c r="O221" s="49">
        <v>-9.0992E-3</v>
      </c>
    </row>
    <row r="222" spans="14:15">
      <c r="N222" s="49">
        <v>0.73641789999999996</v>
      </c>
      <c r="O222" s="49">
        <v>-8.5699999999999995E-3</v>
      </c>
    </row>
    <row r="223" spans="14:15">
      <c r="N223" s="49">
        <v>0.74817889999999998</v>
      </c>
      <c r="O223" s="49">
        <v>-8.0716E-3</v>
      </c>
    </row>
    <row r="224" spans="14:15">
      <c r="N224" s="49">
        <v>0.75977530000000004</v>
      </c>
      <c r="O224" s="49">
        <v>-7.5522000000000002E-3</v>
      </c>
    </row>
    <row r="225" spans="14:15">
      <c r="N225" s="49">
        <v>0.77125069999999996</v>
      </c>
      <c r="O225" s="49">
        <v>-7.0512999999999999E-3</v>
      </c>
    </row>
    <row r="226" spans="14:15">
      <c r="N226" s="49">
        <v>0.78255629999999998</v>
      </c>
      <c r="O226" s="49">
        <v>-6.6224999999999999E-3</v>
      </c>
    </row>
    <row r="227" spans="14:15">
      <c r="N227" s="49">
        <v>0.79363110000000003</v>
      </c>
      <c r="O227" s="49">
        <v>-6.2255000000000001E-3</v>
      </c>
    </row>
    <row r="228" spans="14:15">
      <c r="N228" s="49">
        <v>0.80450869999999997</v>
      </c>
      <c r="O228" s="49">
        <v>-5.8092999999999999E-3</v>
      </c>
    </row>
    <row r="229" spans="14:15">
      <c r="N229" s="49">
        <v>0.81523179999999995</v>
      </c>
      <c r="O229" s="49">
        <v>-5.4183E-3</v>
      </c>
    </row>
    <row r="230" spans="14:15">
      <c r="N230" s="49">
        <v>0.82574729999999996</v>
      </c>
      <c r="O230" s="49">
        <v>-5.1045999999999999E-3</v>
      </c>
    </row>
    <row r="231" spans="14:15">
      <c r="N231" s="49">
        <v>0.83599590000000001</v>
      </c>
      <c r="O231" s="49">
        <v>-4.8241999999999998E-3</v>
      </c>
    </row>
    <row r="232" spans="14:15">
      <c r="N232" s="49">
        <v>0.84601519999999997</v>
      </c>
      <c r="O232" s="49">
        <v>-4.5300000000000002E-3</v>
      </c>
    </row>
    <row r="233" spans="14:15">
      <c r="N233" s="49">
        <v>0.85584150000000003</v>
      </c>
      <c r="O233" s="49">
        <v>-4.2722999999999997E-3</v>
      </c>
    </row>
    <row r="234" spans="14:15">
      <c r="N234" s="49">
        <v>0.86541069999999998</v>
      </c>
      <c r="O234" s="49">
        <v>-4.0981000000000004E-3</v>
      </c>
    </row>
    <row r="235" spans="14:15">
      <c r="N235" s="49">
        <v>0.87466350000000004</v>
      </c>
      <c r="O235" s="49">
        <v>-3.9497000000000004E-3</v>
      </c>
    </row>
    <row r="236" spans="14:15">
      <c r="N236" s="49">
        <v>0.88364640000000005</v>
      </c>
      <c r="O236" s="49">
        <v>-3.7743999999999998E-3</v>
      </c>
    </row>
    <row r="237" spans="14:15">
      <c r="N237" s="49">
        <v>0.89240030000000004</v>
      </c>
      <c r="O237" s="49">
        <v>-3.6235999999999998E-3</v>
      </c>
    </row>
    <row r="238" spans="14:15">
      <c r="N238" s="49">
        <v>0.90086290000000002</v>
      </c>
      <c r="O238" s="49">
        <v>-3.5425999999999999E-3</v>
      </c>
    </row>
    <row r="239" spans="14:15">
      <c r="N239" s="49">
        <v>0.90898069999999997</v>
      </c>
      <c r="O239" s="49">
        <v>-3.4721000000000001E-3</v>
      </c>
    </row>
    <row r="240" spans="14:15">
      <c r="N240" s="49">
        <v>0.91680519999999999</v>
      </c>
      <c r="O240" s="49">
        <v>-3.3633999999999999E-3</v>
      </c>
    </row>
    <row r="241" spans="14:15">
      <c r="N241" s="49">
        <v>0.92437530000000001</v>
      </c>
      <c r="O241" s="49">
        <v>-3.2726000000000001E-3</v>
      </c>
    </row>
    <row r="242" spans="14:15">
      <c r="N242" s="49">
        <v>0.93162579999999995</v>
      </c>
      <c r="O242" s="49">
        <v>-3.2412999999999999E-3</v>
      </c>
    </row>
    <row r="243" spans="14:15">
      <c r="N243" s="49">
        <v>0.9385078</v>
      </c>
      <c r="O243" s="49">
        <v>-3.2062000000000002E-3</v>
      </c>
    </row>
    <row r="244" spans="14:15">
      <c r="N244" s="49">
        <v>0.94507830000000004</v>
      </c>
      <c r="O244" s="49">
        <v>-3.1224E-3</v>
      </c>
    </row>
    <row r="245" spans="14:15">
      <c r="N245" s="49">
        <v>0.95137369999999999</v>
      </c>
      <c r="O245" s="49">
        <v>-3.0493999999999999E-3</v>
      </c>
    </row>
    <row r="246" spans="14:15">
      <c r="N246" s="49">
        <v>0.95732640000000002</v>
      </c>
      <c r="O246" s="49">
        <v>-3.0249999999999999E-3</v>
      </c>
    </row>
    <row r="247" spans="14:15">
      <c r="N247" s="49">
        <v>0.96289340000000001</v>
      </c>
      <c r="O247" s="49">
        <v>-2.9822999999999998E-3</v>
      </c>
    </row>
    <row r="248" spans="14:15">
      <c r="N248" s="49">
        <v>0.96813590000000005</v>
      </c>
      <c r="O248" s="49">
        <v>-2.8801E-3</v>
      </c>
    </row>
    <row r="249" spans="14:15">
      <c r="N249" s="49">
        <v>0.97308850000000002</v>
      </c>
      <c r="O249" s="49">
        <v>-2.7813E-3</v>
      </c>
    </row>
    <row r="250" spans="14:15">
      <c r="N250" s="49">
        <v>0.97768219999999995</v>
      </c>
      <c r="O250" s="49">
        <v>-2.7193999999999999E-3</v>
      </c>
    </row>
    <row r="251" spans="14:15">
      <c r="N251" s="49">
        <v>0.98188019999999998</v>
      </c>
      <c r="O251" s="49">
        <v>-2.6251E-3</v>
      </c>
    </row>
    <row r="252" spans="14:15">
      <c r="N252" s="49">
        <v>0.98574879999999998</v>
      </c>
      <c r="O252" s="49">
        <v>-2.4615000000000001E-3</v>
      </c>
    </row>
    <row r="253" spans="14:15">
      <c r="N253" s="49">
        <v>0.98932109999999995</v>
      </c>
      <c r="O253" s="49">
        <v>-2.2958000000000002E-3</v>
      </c>
    </row>
    <row r="254" spans="14:15">
      <c r="N254" s="49">
        <v>0.99252720000000005</v>
      </c>
      <c r="O254" s="49">
        <v>-2.1592999999999998E-3</v>
      </c>
    </row>
    <row r="255" spans="14:15">
      <c r="N255" s="49">
        <v>0.99533539999999998</v>
      </c>
      <c r="O255" s="49">
        <v>-1.9819E-3</v>
      </c>
    </row>
    <row r="256" spans="14:15">
      <c r="N256" s="49">
        <v>0.99781660000000005</v>
      </c>
      <c r="O256" s="49">
        <v>-1.7328999999999999E-3</v>
      </c>
    </row>
    <row r="257" spans="14:15">
      <c r="N257" s="49">
        <v>1</v>
      </c>
      <c r="O257" s="49">
        <v>-1.4863000000000001E-3</v>
      </c>
    </row>
    <row r="258" spans="14:15">
      <c r="N258" s="49">
        <v>0.98045859999999996</v>
      </c>
      <c r="O258" s="49">
        <v>-2.7471000000000001E-3</v>
      </c>
    </row>
    <row r="259" spans="14:15">
      <c r="N259" s="49">
        <v>0.98398410000000003</v>
      </c>
      <c r="O259" s="49">
        <v>-2.6294000000000001E-3</v>
      </c>
    </row>
    <row r="260" spans="14:15">
      <c r="N260" s="49">
        <v>0.98715679999999995</v>
      </c>
      <c r="O260" s="49">
        <v>-2.5167000000000002E-3</v>
      </c>
    </row>
    <row r="261" spans="14:15">
      <c r="N261" s="49">
        <v>0.98996360000000005</v>
      </c>
      <c r="O261" s="49">
        <v>-2.3804E-3</v>
      </c>
    </row>
    <row r="262" spans="14:15">
      <c r="N262" s="49">
        <v>0.99243239999999999</v>
      </c>
      <c r="O262" s="49">
        <v>-2.2106999999999999E-3</v>
      </c>
    </row>
    <row r="263" spans="14:15">
      <c r="N263" s="49">
        <v>0.99456979999999995</v>
      </c>
      <c r="O263" s="49">
        <v>-2.0393999999999998E-3</v>
      </c>
    </row>
    <row r="264" spans="14:15">
      <c r="N264" s="49">
        <v>0.99634020000000001</v>
      </c>
      <c r="O264" s="49">
        <v>-1.8739E-3</v>
      </c>
    </row>
    <row r="265" spans="14:15">
      <c r="N265" s="49">
        <v>0.99773710000000004</v>
      </c>
      <c r="O265" s="49">
        <v>-1.6777000000000001E-3</v>
      </c>
    </row>
    <row r="266" spans="14:15">
      <c r="N266" s="49">
        <v>0.99880590000000002</v>
      </c>
      <c r="O266" s="49">
        <v>-1.4494E-3</v>
      </c>
    </row>
    <row r="267" spans="14:15">
      <c r="N267" s="49">
        <v>0.99955570000000005</v>
      </c>
      <c r="O267" s="49">
        <v>-1.2634E-3</v>
      </c>
    </row>
    <row r="268" spans="14:15">
      <c r="N268" s="49">
        <v>0.99984569999999995</v>
      </c>
      <c r="O268" s="49">
        <v>-1.1941E-3</v>
      </c>
    </row>
    <row r="269" spans="14:15">
      <c r="N269" s="49">
        <v>0.66362310000000002</v>
      </c>
      <c r="O269" s="49">
        <v>2.8200000000000002E-4</v>
      </c>
    </row>
    <row r="270" spans="14:15">
      <c r="N270" s="49">
        <v>0.67282909999999996</v>
      </c>
      <c r="O270" s="49">
        <v>9.1469999999999995E-4</v>
      </c>
    </row>
    <row r="271" spans="14:15">
      <c r="N271" s="49">
        <v>0.68202410000000002</v>
      </c>
      <c r="O271" s="49">
        <v>1.5571999999999999E-3</v>
      </c>
    </row>
    <row r="272" spans="14:15">
      <c r="N272" s="49">
        <v>0.69121370000000004</v>
      </c>
      <c r="O272" s="49">
        <v>2.2066E-3</v>
      </c>
    </row>
    <row r="273" spans="14:15">
      <c r="N273" s="49">
        <v>0.70039229999999997</v>
      </c>
      <c r="O273" s="49">
        <v>2.8195E-3</v>
      </c>
    </row>
    <row r="274" spans="14:15">
      <c r="N274" s="49">
        <v>0.70957020000000004</v>
      </c>
      <c r="O274" s="49">
        <v>3.4033000000000002E-3</v>
      </c>
    </row>
    <row r="275" spans="14:15">
      <c r="N275" s="49">
        <v>0.71872579999999997</v>
      </c>
      <c r="O275" s="49">
        <v>3.9604999999999996E-3</v>
      </c>
    </row>
    <row r="276" spans="14:15">
      <c r="N276" s="49">
        <v>0.72786229999999996</v>
      </c>
      <c r="O276" s="49">
        <v>4.4901999999999997E-3</v>
      </c>
    </row>
    <row r="277" spans="14:15">
      <c r="N277" s="49">
        <v>0.73696079999999997</v>
      </c>
      <c r="O277" s="49">
        <v>4.9935999999999999E-3</v>
      </c>
    </row>
    <row r="278" spans="14:15">
      <c r="N278" s="49">
        <v>0.74602489999999999</v>
      </c>
      <c r="O278" s="49">
        <v>5.4698999999999998E-3</v>
      </c>
    </row>
    <row r="279" spans="14:15">
      <c r="N279" s="49">
        <v>0.75505199999999995</v>
      </c>
      <c r="O279" s="49">
        <v>5.9164999999999999E-3</v>
      </c>
    </row>
    <row r="280" spans="14:15">
      <c r="N280" s="49">
        <v>0.7640536</v>
      </c>
      <c r="O280" s="49">
        <v>6.3397999999999996E-3</v>
      </c>
    </row>
    <row r="281" spans="14:15">
      <c r="N281" s="49">
        <v>0.77301839999999999</v>
      </c>
      <c r="O281" s="49">
        <v>6.7387000000000002E-3</v>
      </c>
    </row>
    <row r="282" spans="14:15">
      <c r="N282" s="49">
        <v>0.78194220000000003</v>
      </c>
      <c r="O282" s="49">
        <v>7.1145999999999996E-3</v>
      </c>
    </row>
    <row r="283" spans="14:15">
      <c r="N283" s="49">
        <v>0.79081630000000003</v>
      </c>
      <c r="O283" s="49">
        <v>7.4538E-3</v>
      </c>
    </row>
    <row r="284" spans="14:15">
      <c r="N284" s="49">
        <v>0.79967750000000004</v>
      </c>
      <c r="O284" s="49">
        <v>7.7489999999999998E-3</v>
      </c>
    </row>
    <row r="285" spans="14:15">
      <c r="N285" s="49">
        <v>0.80853330000000001</v>
      </c>
      <c r="O285" s="49">
        <v>8.0125000000000005E-3</v>
      </c>
    </row>
    <row r="286" spans="14:15">
      <c r="N286" s="49">
        <v>0.81736540000000002</v>
      </c>
      <c r="O286" s="49">
        <v>8.2474999999999996E-3</v>
      </c>
    </row>
    <row r="287" spans="14:15">
      <c r="N287" s="49">
        <v>0.82614030000000005</v>
      </c>
      <c r="O287" s="49">
        <v>8.4696000000000007E-3</v>
      </c>
    </row>
    <row r="288" spans="14:15">
      <c r="N288" s="49">
        <v>0.83482109999999998</v>
      </c>
      <c r="O288" s="49">
        <v>8.6452999999999999E-3</v>
      </c>
    </row>
    <row r="289" spans="14:15">
      <c r="N289" s="49">
        <v>0.84348489999999998</v>
      </c>
      <c r="O289" s="49">
        <v>8.7448000000000005E-3</v>
      </c>
    </row>
    <row r="290" spans="14:15">
      <c r="N290" s="49">
        <v>0.85217580000000004</v>
      </c>
      <c r="O290" s="49">
        <v>8.7890999999999993E-3</v>
      </c>
    </row>
    <row r="291" spans="14:15">
      <c r="N291" s="49">
        <v>0.86085560000000005</v>
      </c>
      <c r="O291" s="49">
        <v>8.8111999999999999E-3</v>
      </c>
    </row>
    <row r="292" spans="14:15">
      <c r="N292" s="49">
        <v>0.86944639999999995</v>
      </c>
      <c r="O292" s="49">
        <v>8.8015999999999997E-3</v>
      </c>
    </row>
    <row r="293" spans="14:15">
      <c r="N293" s="49">
        <v>0.87797400000000003</v>
      </c>
      <c r="O293" s="49">
        <v>8.7077999999999999E-3</v>
      </c>
    </row>
    <row r="294" spans="14:15">
      <c r="N294" s="49">
        <v>0.8865075</v>
      </c>
      <c r="O294" s="49">
        <v>8.5570999999999998E-3</v>
      </c>
    </row>
    <row r="295" spans="14:15">
      <c r="N295" s="49">
        <v>0.89496929999999997</v>
      </c>
      <c r="O295" s="49">
        <v>8.3966000000000006E-3</v>
      </c>
    </row>
    <row r="296" spans="14:15">
      <c r="N296" s="49">
        <v>0.90328149999999996</v>
      </c>
      <c r="O296" s="49">
        <v>8.1922999999999996E-3</v>
      </c>
    </row>
    <row r="297" spans="14:15">
      <c r="N297" s="49">
        <v>0.91147900000000004</v>
      </c>
      <c r="O297" s="49">
        <v>7.8831999999999999E-3</v>
      </c>
    </row>
    <row r="298" spans="14:15">
      <c r="N298" s="49">
        <v>0.91963589999999995</v>
      </c>
      <c r="O298" s="49">
        <v>7.4911999999999999E-3</v>
      </c>
    </row>
    <row r="299" spans="14:15">
      <c r="N299" s="49">
        <v>0.92770790000000003</v>
      </c>
      <c r="O299" s="49">
        <v>7.0606999999999996E-3</v>
      </c>
    </row>
    <row r="300" spans="14:15">
      <c r="N300" s="49">
        <v>0.93560430000000006</v>
      </c>
      <c r="O300" s="49">
        <v>6.5862000000000004E-3</v>
      </c>
    </row>
    <row r="301" spans="14:15">
      <c r="N301" s="49">
        <v>0.94332280000000002</v>
      </c>
      <c r="O301" s="49">
        <v>6.0042999999999997E-3</v>
      </c>
    </row>
    <row r="302" spans="14:15">
      <c r="N302" s="49">
        <v>0.95092030000000005</v>
      </c>
      <c r="O302" s="49">
        <v>5.3363999999999998E-3</v>
      </c>
    </row>
    <row r="303" spans="14:15">
      <c r="N303" s="49">
        <v>0.95835360000000003</v>
      </c>
      <c r="O303" s="49">
        <v>4.6204000000000002E-3</v>
      </c>
    </row>
    <row r="304" spans="14:15">
      <c r="N304" s="49">
        <v>0.96555829999999998</v>
      </c>
      <c r="O304" s="49">
        <v>3.8660999999999999E-3</v>
      </c>
    </row>
    <row r="305" spans="14:15">
      <c r="N305" s="49">
        <v>0.97247600000000001</v>
      </c>
      <c r="O305" s="49">
        <v>3.0704E-3</v>
      </c>
    </row>
    <row r="306" spans="14:15">
      <c r="N306" s="49">
        <v>0.97908839999999997</v>
      </c>
      <c r="O306" s="49">
        <v>2.2311000000000002E-3</v>
      </c>
    </row>
    <row r="307" spans="14:15">
      <c r="N307" s="49">
        <v>0.98534710000000003</v>
      </c>
      <c r="O307" s="49">
        <v>1.4025000000000001E-3</v>
      </c>
    </row>
    <row r="308" spans="14:15">
      <c r="N308" s="49">
        <v>0.99119040000000003</v>
      </c>
      <c r="O308" s="49">
        <v>5.8460000000000001E-4</v>
      </c>
    </row>
    <row r="309" spans="14:15">
      <c r="N309" s="49">
        <v>0.99660380000000004</v>
      </c>
      <c r="O309" s="49">
        <v>-2.195E-4</v>
      </c>
    </row>
    <row r="310" spans="14:15">
      <c r="N310" s="49">
        <v>0.9999749</v>
      </c>
      <c r="O310" s="49">
        <v>-7.471E-4</v>
      </c>
    </row>
  </sheetData>
  <mergeCells count="6">
    <mergeCell ref="B33:B39"/>
    <mergeCell ref="E45:H45"/>
    <mergeCell ref="N3:Q3"/>
    <mergeCell ref="D5:E5"/>
    <mergeCell ref="D6:G6"/>
    <mergeCell ref="D31:E31"/>
  </mergeCells>
  <phoneticPr fontId="2"/>
  <dataValidations count="1">
    <dataValidation type="list" allowBlank="1" showInputMessage="1" sqref="S5" xr:uid="{8E141BB1-F074-4194-B9CA-76EA3A5DB4D5}">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98" r:id="rId3" name="Button 26">
              <controlPr defaultSize="0" print="0" autoFill="0" autoPict="0" macro="[0]!createFilePulldown.addfileName">
                <anchor moveWithCells="1" sizeWithCells="1">
                  <from>
                    <xdr:col>13</xdr:col>
                    <xdr:colOff>0</xdr:colOff>
                    <xdr:row>3</xdr:row>
                    <xdr:rowOff>247650</xdr:rowOff>
                  </from>
                  <to>
                    <xdr:col>17</xdr:col>
                    <xdr:colOff>0</xdr:colOff>
                    <xdr:row>4</xdr:row>
                    <xdr:rowOff>247650</xdr:rowOff>
                  </to>
                </anchor>
              </controlPr>
            </control>
          </mc:Choice>
        </mc:AlternateContent>
        <mc:AlternateContent xmlns:mc="http://schemas.openxmlformats.org/markup-compatibility/2006">
          <mc:Choice Requires="x14">
            <control shapeId="3100" r:id="rId4" name="Button 28">
              <controlPr defaultSize="0" print="0" autoFill="0" autoPict="0" macro="[0]!airfoilCheck">
                <anchor moveWithCells="1" sizeWithCells="1">
                  <from>
                    <xdr:col>12</xdr:col>
                    <xdr:colOff>676275</xdr:colOff>
                    <xdr:row>6</xdr:row>
                    <xdr:rowOff>0</xdr:rowOff>
                  </from>
                  <to>
                    <xdr:col>17</xdr:col>
                    <xdr:colOff>0</xdr:colOff>
                    <xdr:row>7</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EB731-0201-47AC-BBAF-B0BF1FF7BAA2}">
  <sheetPr codeName="Sheet16">
    <tabColor theme="5" tint="0.79998168889431442"/>
  </sheetPr>
  <dimension ref="B3:AI21"/>
  <sheetViews>
    <sheetView zoomScale="79" zoomScaleNormal="55" workbookViewId="0">
      <selection activeCell="T5" sqref="T5:Y7"/>
    </sheetView>
  </sheetViews>
  <sheetFormatPr defaultRowHeight="18.75"/>
  <cols>
    <col min="3" max="3" width="10.125" bestFit="1" customWidth="1"/>
    <col min="4" max="4" width="11" customWidth="1"/>
    <col min="5" max="5" width="9.125" bestFit="1" customWidth="1"/>
    <col min="18" max="18" width="9.125" bestFit="1" customWidth="1"/>
    <col min="20" max="22" width="9.125" bestFit="1" customWidth="1"/>
    <col min="23" max="30" width="14.25" bestFit="1" customWidth="1"/>
    <col min="31" max="34" width="9.125" bestFit="1" customWidth="1"/>
    <col min="35" max="35" width="13.375" bestFit="1" customWidth="1"/>
  </cols>
  <sheetData>
    <row r="3" spans="2:35">
      <c r="B3" s="147" t="s">
        <v>579</v>
      </c>
      <c r="C3" s="143" t="s">
        <v>1028</v>
      </c>
      <c r="D3" s="143"/>
    </row>
    <row r="4" spans="2:35">
      <c r="G4" t="s">
        <v>581</v>
      </c>
      <c r="S4" s="49" t="s">
        <v>1009</v>
      </c>
      <c r="T4" s="147" t="s">
        <v>1010</v>
      </c>
      <c r="U4" s="147" t="s">
        <v>1011</v>
      </c>
      <c r="V4" s="147" t="s">
        <v>1012</v>
      </c>
      <c r="W4" s="147" t="s">
        <v>1013</v>
      </c>
      <c r="X4" s="147" t="s">
        <v>1014</v>
      </c>
      <c r="Y4" s="147" t="s">
        <v>1015</v>
      </c>
      <c r="Z4" s="147" t="s">
        <v>1016</v>
      </c>
      <c r="AA4" s="147" t="s">
        <v>1017</v>
      </c>
      <c r="AB4" s="147" t="s">
        <v>1018</v>
      </c>
      <c r="AC4" s="147" t="s">
        <v>1019</v>
      </c>
      <c r="AD4" s="147" t="s">
        <v>1020</v>
      </c>
      <c r="AE4" s="147" t="s">
        <v>1021</v>
      </c>
      <c r="AF4" s="147" t="s">
        <v>1022</v>
      </c>
      <c r="AG4" s="147" t="s">
        <v>1023</v>
      </c>
      <c r="AH4" s="147" t="s">
        <v>1024</v>
      </c>
      <c r="AI4" s="147" t="s">
        <v>1025</v>
      </c>
    </row>
    <row r="5" spans="2:35" ht="19.5">
      <c r="B5" s="151" t="s">
        <v>561</v>
      </c>
      <c r="C5" s="151" t="s">
        <v>562</v>
      </c>
      <c r="D5" s="151" t="s">
        <v>563</v>
      </c>
      <c r="E5" s="151" t="s">
        <v>564</v>
      </c>
      <c r="S5" s="147" t="s">
        <v>566</v>
      </c>
      <c r="T5" s="49">
        <v>0.58555787305165952</v>
      </c>
      <c r="U5" s="49">
        <v>0.11298911044070417</v>
      </c>
      <c r="V5" s="49">
        <v>6.7184677929664916E-4</v>
      </c>
      <c r="W5" s="49">
        <v>7.1352595937579006E-5</v>
      </c>
      <c r="X5" s="49">
        <v>-3.4253837456565824E-5</v>
      </c>
      <c r="Y5" s="49">
        <v>-4.0727815124879385E-6</v>
      </c>
      <c r="Z5" s="49">
        <v>3.1008295704995209E-7</v>
      </c>
      <c r="AA5" s="49">
        <v>2.3374562021729315E-8</v>
      </c>
      <c r="AB5" s="49">
        <v>-1.4653756095986528E-9</v>
      </c>
      <c r="AC5" s="49">
        <v>-2.6886424160114602E-11</v>
      </c>
      <c r="AD5" s="49">
        <v>1.7459297343902192E-12</v>
      </c>
      <c r="AE5" s="49"/>
      <c r="AF5" s="49"/>
      <c r="AG5" s="49"/>
      <c r="AH5" s="49"/>
      <c r="AI5" s="49"/>
    </row>
    <row r="6" spans="2:35" ht="19.5">
      <c r="B6" s="149" t="s">
        <v>565</v>
      </c>
      <c r="C6" s="150">
        <v>-10</v>
      </c>
      <c r="D6" s="150">
        <v>20</v>
      </c>
      <c r="E6" s="150">
        <v>0.1</v>
      </c>
      <c r="S6" s="147" t="s">
        <v>597</v>
      </c>
      <c r="T6" s="49">
        <v>-9.7897106267391176E-2</v>
      </c>
      <c r="U6" s="49">
        <v>-5.8490224672072735E-3</v>
      </c>
      <c r="V6" s="49">
        <v>9.6556228400237825E-4</v>
      </c>
      <c r="W6" s="49">
        <v>-2.5638805709258377E-6</v>
      </c>
      <c r="X6" s="49">
        <v>-1.1634480761170202E-6</v>
      </c>
      <c r="Y6" s="49">
        <v>1.5226465531212546E-7</v>
      </c>
      <c r="Z6" s="49">
        <v>2.7159649338487528E-8</v>
      </c>
      <c r="AA6" s="49">
        <v>-2.345840728097363E-9</v>
      </c>
      <c r="AB6" s="49">
        <v>-9.3414127887416901E-11</v>
      </c>
      <c r="AC6" s="49">
        <v>1.2285723628928948E-11</v>
      </c>
      <c r="AD6" s="49">
        <v>-2.7637441133603145E-13</v>
      </c>
      <c r="AE6" s="49">
        <v>0.10590862744747484</v>
      </c>
      <c r="AF6" s="49">
        <v>-2.6173417429460104E-2</v>
      </c>
      <c r="AG6" s="49">
        <v>1.9068330221681184E-3</v>
      </c>
      <c r="AH6" s="49">
        <v>9.599353886337752E-4</v>
      </c>
      <c r="AI6" s="49">
        <v>-1.5149591208578748E-4</v>
      </c>
    </row>
    <row r="7" spans="2:35" ht="19.5">
      <c r="B7" s="149" t="s">
        <v>512</v>
      </c>
      <c r="C7" s="148">
        <v>300000</v>
      </c>
      <c r="D7" s="148">
        <v>800000</v>
      </c>
      <c r="E7" s="148">
        <v>20000</v>
      </c>
      <c r="S7" s="147" t="s">
        <v>567</v>
      </c>
      <c r="T7" s="49">
        <v>-0.42388711234752241</v>
      </c>
      <c r="U7" s="49">
        <v>8.093097810770767E-3</v>
      </c>
      <c r="V7" s="49">
        <v>-4.8476173731885121E-4</v>
      </c>
      <c r="W7" s="49">
        <v>-8.8466835005442621E-6</v>
      </c>
      <c r="X7" s="49">
        <v>9.6338115580381256E-6</v>
      </c>
      <c r="Y7" s="49">
        <v>4.4541123455313405E-7</v>
      </c>
      <c r="Z7" s="49">
        <v>-1.2412994954585833E-7</v>
      </c>
      <c r="AA7" s="49">
        <v>4.2180832142378502E-10</v>
      </c>
      <c r="AB7" s="49">
        <v>5.64708421255448E-10</v>
      </c>
      <c r="AC7" s="49">
        <v>-2.6068406243976864E-11</v>
      </c>
      <c r="AD7" s="49">
        <v>3.4383640963008599E-13</v>
      </c>
      <c r="AE7" s="49">
        <v>0.16581573720610307</v>
      </c>
      <c r="AF7" s="49">
        <v>-3.0556185931817945E-2</v>
      </c>
      <c r="AG7" s="49">
        <v>1.8582638373967914E-3</v>
      </c>
      <c r="AH7" s="49">
        <v>-1.4883655386506215E-3</v>
      </c>
      <c r="AI7" s="49">
        <v>5.9388274880353479E-5</v>
      </c>
    </row>
    <row r="9" spans="2:35">
      <c r="B9" s="147" t="s">
        <v>580</v>
      </c>
      <c r="C9" s="49">
        <v>9</v>
      </c>
    </row>
    <row r="11" spans="2:35">
      <c r="B11" s="147" t="s">
        <v>598</v>
      </c>
      <c r="C11" s="147"/>
      <c r="D11" s="49">
        <v>600000</v>
      </c>
    </row>
    <row r="13" spans="2:35">
      <c r="P13" s="2" t="s">
        <v>260</v>
      </c>
      <c r="Q13" s="2" t="s">
        <v>261</v>
      </c>
      <c r="R13" s="2" t="s">
        <v>262</v>
      </c>
      <c r="S13" s="2" t="s">
        <v>263</v>
      </c>
    </row>
    <row r="14" spans="2:35">
      <c r="P14" s="6" t="s">
        <v>569</v>
      </c>
      <c r="Q14" s="6" t="s">
        <v>570</v>
      </c>
      <c r="R14" s="6">
        <v>2.0621022799361244</v>
      </c>
      <c r="S14" s="6" t="s">
        <v>145</v>
      </c>
    </row>
    <row r="15" spans="2:35">
      <c r="P15" s="6"/>
      <c r="Q15" s="6" t="s">
        <v>571</v>
      </c>
      <c r="R15" s="6">
        <v>1.0086082435278714</v>
      </c>
      <c r="S15" s="6" t="s">
        <v>145</v>
      </c>
    </row>
    <row r="16" spans="2:35">
      <c r="P16" s="6"/>
      <c r="Q16" s="6" t="s">
        <v>572</v>
      </c>
      <c r="R16" s="6">
        <v>1.053494036408253</v>
      </c>
      <c r="S16" s="6" t="s">
        <v>145</v>
      </c>
    </row>
    <row r="17" spans="16:19">
      <c r="P17" s="6"/>
      <c r="Q17" s="6" t="s">
        <v>573</v>
      </c>
      <c r="R17" s="6">
        <v>9.8612125031690048E-2</v>
      </c>
      <c r="S17" s="6" t="s">
        <v>331</v>
      </c>
    </row>
    <row r="18" spans="16:19" ht="19.5" thickBot="1">
      <c r="P18" s="11"/>
      <c r="Q18" s="11" t="s">
        <v>574</v>
      </c>
      <c r="R18" s="11">
        <v>14.593327618117016</v>
      </c>
      <c r="S18" s="11" t="s">
        <v>495</v>
      </c>
    </row>
    <row r="19" spans="16:19" ht="19.5" thickTop="1">
      <c r="P19" s="12" t="s">
        <v>575</v>
      </c>
      <c r="Q19" s="12" t="s">
        <v>576</v>
      </c>
      <c r="R19" s="12">
        <v>0.75</v>
      </c>
      <c r="S19" s="12" t="s">
        <v>142</v>
      </c>
    </row>
    <row r="20" spans="16:19">
      <c r="P20" s="6"/>
      <c r="Q20" s="6" t="s">
        <v>577</v>
      </c>
      <c r="R20" s="12">
        <v>0.2</v>
      </c>
      <c r="S20" s="6" t="s">
        <v>142</v>
      </c>
    </row>
    <row r="21" spans="16:19">
      <c r="P21" s="6" t="s">
        <v>578</v>
      </c>
      <c r="Q21" s="6" t="s">
        <v>77</v>
      </c>
      <c r="R21" s="6">
        <f>'主翼(平面形)'!AI2</f>
        <v>0.38</v>
      </c>
      <c r="S21" s="6" t="s">
        <v>77</v>
      </c>
    </row>
  </sheetData>
  <phoneticPr fontId="2"/>
  <dataValidations count="1">
    <dataValidation type="list" allowBlank="1" showInputMessage="1" sqref="C3" xr:uid="{C8251BC4-0944-4476-B248-E3CDF9AD0762}">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4" r:id="rId3" name="Button 4">
              <controlPr defaultSize="0" print="0" autoFill="0" autoPict="0" macro="[0]!ImportAirfoil">
                <anchor moveWithCells="1" sizeWithCells="1">
                  <from>
                    <xdr:col>4</xdr:col>
                    <xdr:colOff>676275</xdr:colOff>
                    <xdr:row>1</xdr:row>
                    <xdr:rowOff>219075</xdr:rowOff>
                  </from>
                  <to>
                    <xdr:col>7</xdr:col>
                    <xdr:colOff>95250</xdr:colOff>
                    <xdr:row>3</xdr:row>
                    <xdr:rowOff>9525</xdr:rowOff>
                  </to>
                </anchor>
              </controlPr>
            </control>
          </mc:Choice>
        </mc:AlternateContent>
        <mc:AlternateContent xmlns:mc="http://schemas.openxmlformats.org/markup-compatibility/2006">
          <mc:Choice Requires="x14">
            <control shapeId="20488" r:id="rId4" name="Button 8">
              <controlPr defaultSize="0" print="0" autoFill="0" autoPict="0" macro="[0]!翼型幾何計算">
                <anchor moveWithCells="1" sizeWithCells="1">
                  <from>
                    <xdr:col>14</xdr:col>
                    <xdr:colOff>666750</xdr:colOff>
                    <xdr:row>11</xdr:row>
                    <xdr:rowOff>19050</xdr:rowOff>
                  </from>
                  <to>
                    <xdr:col>16</xdr:col>
                    <xdr:colOff>0</xdr:colOff>
                    <xdr:row>12</xdr:row>
                    <xdr:rowOff>28575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90C0E-E662-4955-923E-C61C5737B372}">
  <sheetPr codeName="Sheet19">
    <tabColor theme="5" tint="0.79998168889431442"/>
  </sheetPr>
  <dimension ref="B3:AI21"/>
  <sheetViews>
    <sheetView topLeftCell="C5" zoomScale="110" zoomScaleNormal="70" workbookViewId="0">
      <selection activeCell="C3" sqref="C3"/>
    </sheetView>
  </sheetViews>
  <sheetFormatPr defaultRowHeight="18.75"/>
  <cols>
    <col min="3" max="3" width="10.25" bestFit="1" customWidth="1"/>
    <col min="4" max="4" width="11" customWidth="1"/>
    <col min="5" max="5" width="9.25" bestFit="1" customWidth="1"/>
    <col min="18" max="18" width="9.125" bestFit="1" customWidth="1"/>
    <col min="20" max="22" width="9.125" bestFit="1" customWidth="1"/>
    <col min="23" max="30" width="15.25" bestFit="1" customWidth="1"/>
    <col min="31" max="34" width="9.125" bestFit="1" customWidth="1"/>
    <col min="35" max="35" width="14.375" bestFit="1" customWidth="1"/>
  </cols>
  <sheetData>
    <row r="3" spans="2:35">
      <c r="B3" s="147" t="s">
        <v>579</v>
      </c>
      <c r="C3" s="143" t="s">
        <v>1185</v>
      </c>
      <c r="D3" s="143"/>
      <c r="S3" s="241"/>
    </row>
    <row r="4" spans="2:35">
      <c r="G4" t="s">
        <v>581</v>
      </c>
      <c r="S4" s="49" t="s">
        <v>1009</v>
      </c>
      <c r="T4" s="147" t="s">
        <v>1010</v>
      </c>
      <c r="U4" s="147" t="s">
        <v>1011</v>
      </c>
      <c r="V4" s="147" t="s">
        <v>1012</v>
      </c>
      <c r="W4" s="147" t="s">
        <v>1013</v>
      </c>
      <c r="X4" s="147" t="s">
        <v>1014</v>
      </c>
      <c r="Y4" s="147" t="s">
        <v>1015</v>
      </c>
      <c r="Z4" s="147" t="s">
        <v>1016</v>
      </c>
      <c r="AA4" s="147" t="s">
        <v>1017</v>
      </c>
      <c r="AB4" s="147" t="s">
        <v>1018</v>
      </c>
      <c r="AC4" s="147" t="s">
        <v>1019</v>
      </c>
      <c r="AD4" s="147" t="s">
        <v>1020</v>
      </c>
      <c r="AE4" s="147" t="s">
        <v>1021</v>
      </c>
      <c r="AF4" s="147" t="s">
        <v>1022</v>
      </c>
      <c r="AG4" s="147" t="s">
        <v>1023</v>
      </c>
      <c r="AH4" s="147" t="s">
        <v>1024</v>
      </c>
      <c r="AI4" s="147" t="s">
        <v>1025</v>
      </c>
    </row>
    <row r="5" spans="2:35" ht="19.5">
      <c r="B5" s="151" t="s">
        <v>561</v>
      </c>
      <c r="C5" s="151" t="s">
        <v>562</v>
      </c>
      <c r="D5" s="151" t="s">
        <v>563</v>
      </c>
      <c r="E5" s="151" t="s">
        <v>564</v>
      </c>
      <c r="S5" s="147" t="s">
        <v>566</v>
      </c>
      <c r="T5" s="49">
        <v>0.62486730789014278</v>
      </c>
      <c r="U5" s="49">
        <v>0.11212602806578069</v>
      </c>
      <c r="V5" s="49">
        <v>2.925128405475088E-4</v>
      </c>
      <c r="W5" s="49">
        <v>6.7318435054291768E-5</v>
      </c>
      <c r="X5" s="49">
        <v>-2.7668816603542483E-5</v>
      </c>
      <c r="Y5" s="49">
        <v>-3.7529157198842012E-6</v>
      </c>
      <c r="Z5" s="49">
        <v>2.6291289163660801E-7</v>
      </c>
      <c r="AA5" s="49">
        <v>2.1137891478566365E-8</v>
      </c>
      <c r="AB5" s="49">
        <v>-1.2923534347556439E-9</v>
      </c>
      <c r="AC5" s="49">
        <v>-2.2571524017763865E-11</v>
      </c>
      <c r="AD5" s="49">
        <v>1.4897149148139084E-12</v>
      </c>
      <c r="AE5" s="49"/>
      <c r="AF5" s="49"/>
      <c r="AG5" s="49"/>
      <c r="AH5" s="49"/>
      <c r="AI5" s="49"/>
    </row>
    <row r="6" spans="2:35" ht="19.5">
      <c r="B6" s="149" t="s">
        <v>565</v>
      </c>
      <c r="C6" s="150">
        <v>-10</v>
      </c>
      <c r="D6" s="150">
        <v>20</v>
      </c>
      <c r="E6" s="150">
        <v>0.1</v>
      </c>
      <c r="S6" s="147" t="s">
        <v>597</v>
      </c>
      <c r="T6" s="49">
        <v>4.4188483683081592E-2</v>
      </c>
      <c r="U6" s="49">
        <v>-7.0586425282384872E-3</v>
      </c>
      <c r="V6" s="49">
        <v>1.0868095031240802E-3</v>
      </c>
      <c r="W6" s="49">
        <v>-1.5010531798747028E-6</v>
      </c>
      <c r="X6" s="49">
        <v>-4.7525184145440303E-7</v>
      </c>
      <c r="Y6" s="49">
        <v>1.0583695952656532E-7</v>
      </c>
      <c r="Z6" s="49">
        <v>1.5765514561369035E-8</v>
      </c>
      <c r="AA6" s="49">
        <v>-1.5467979893667304E-9</v>
      </c>
      <c r="AB6" s="49">
        <v>-4.5462446361609883E-11</v>
      </c>
      <c r="AC6" s="49">
        <v>7.2152388445220255E-12</v>
      </c>
      <c r="AD6" s="49">
        <v>-1.6843150214409363E-13</v>
      </c>
      <c r="AE6" s="49">
        <v>3.5165346336624312E-2</v>
      </c>
      <c r="AF6" s="49">
        <v>-1.4520754308691769E-2</v>
      </c>
      <c r="AG6" s="49">
        <v>1.2716720181294471E-3</v>
      </c>
      <c r="AH6" s="49">
        <v>1.1695571667698394E-3</v>
      </c>
      <c r="AI6" s="49">
        <v>-1.7285074039234062E-4</v>
      </c>
    </row>
    <row r="7" spans="2:35" ht="19.5">
      <c r="B7" s="149" t="s">
        <v>512</v>
      </c>
      <c r="C7" s="148">
        <v>300000</v>
      </c>
      <c r="D7" s="148">
        <v>800000</v>
      </c>
      <c r="E7" s="148">
        <v>20000</v>
      </c>
      <c r="S7" s="147" t="s">
        <v>567</v>
      </c>
      <c r="T7" s="49">
        <v>-0.52402261298844877</v>
      </c>
      <c r="U7" s="49">
        <v>8.4179952497403492E-3</v>
      </c>
      <c r="V7" s="49">
        <v>-4.2413123132110025E-4</v>
      </c>
      <c r="W7" s="49">
        <v>8.4688686270320282E-6</v>
      </c>
      <c r="X7" s="49">
        <v>6.2975426749961182E-6</v>
      </c>
      <c r="Y7" s="49">
        <v>1.187309388069292E-7</v>
      </c>
      <c r="Z7" s="49">
        <v>-6.4667586141895132E-8</v>
      </c>
      <c r="AA7" s="49">
        <v>4.7985072683884067E-10</v>
      </c>
      <c r="AB7" s="49">
        <v>2.3741511896911341E-10</v>
      </c>
      <c r="AC7" s="49">
        <v>-9.4528149892886105E-12</v>
      </c>
      <c r="AD7" s="49">
        <v>8.9750594822220334E-14</v>
      </c>
      <c r="AE7" s="49">
        <v>0.1833419853861929</v>
      </c>
      <c r="AF7" s="49">
        <v>-2.8100817580721991E-2</v>
      </c>
      <c r="AG7" s="49">
        <v>1.3727004981231709E-3</v>
      </c>
      <c r="AH7" s="49">
        <v>-1.540740091354742E-3</v>
      </c>
      <c r="AI7" s="49">
        <v>6.417383224652137E-5</v>
      </c>
    </row>
    <row r="9" spans="2:35">
      <c r="B9" s="147" t="s">
        <v>580</v>
      </c>
      <c r="C9" s="49">
        <v>9</v>
      </c>
    </row>
    <row r="10" spans="2:35">
      <c r="V10">
        <v>10</v>
      </c>
      <c r="Y10">
        <f>T5+U5*V10+V5*(V10^2)+W5*(V10^3)+X5*(V10^4)+Y5*(V10^5)+Z5*(V10^6)+AA5*(V10^7)+AB5*(V10^8)+AC5*(V10^9)+AD5*(V10^10)</f>
        <v>1.5280996577102302</v>
      </c>
    </row>
    <row r="11" spans="2:35">
      <c r="B11" s="147" t="s">
        <v>598</v>
      </c>
      <c r="C11" s="147"/>
      <c r="D11" s="49">
        <v>500000</v>
      </c>
    </row>
    <row r="13" spans="2:35">
      <c r="P13" s="2" t="s">
        <v>260</v>
      </c>
      <c r="Q13" s="2" t="s">
        <v>261</v>
      </c>
      <c r="R13" s="2" t="s">
        <v>262</v>
      </c>
      <c r="S13" s="2" t="s">
        <v>263</v>
      </c>
    </row>
    <row r="14" spans="2:35">
      <c r="P14" s="6" t="s">
        <v>569</v>
      </c>
      <c r="Q14" s="6" t="s">
        <v>570</v>
      </c>
      <c r="R14" s="6">
        <v>2.0618246965228608</v>
      </c>
      <c r="S14" s="6" t="s">
        <v>145</v>
      </c>
    </row>
    <row r="15" spans="2:35">
      <c r="P15" s="6"/>
      <c r="Q15" s="6" t="s">
        <v>571</v>
      </c>
      <c r="R15" s="6">
        <v>1.010312251275346</v>
      </c>
      <c r="S15" s="6" t="s">
        <v>145</v>
      </c>
    </row>
    <row r="16" spans="2:35">
      <c r="P16" s="6"/>
      <c r="Q16" s="6" t="s">
        <v>572</v>
      </c>
      <c r="R16" s="6">
        <v>1.0515124452475149</v>
      </c>
      <c r="S16" s="6" t="s">
        <v>145</v>
      </c>
    </row>
    <row r="17" spans="16:19">
      <c r="P17" s="6"/>
      <c r="Q17" s="6" t="s">
        <v>573</v>
      </c>
      <c r="R17" s="6">
        <v>9.514019775796001E-2</v>
      </c>
      <c r="S17" s="6" t="s">
        <v>331</v>
      </c>
    </row>
    <row r="18" spans="16:19" ht="19.5" thickBot="1">
      <c r="P18" s="11"/>
      <c r="Q18" s="11" t="s">
        <v>574</v>
      </c>
      <c r="R18" s="11">
        <v>13.990265696087992</v>
      </c>
      <c r="S18" s="11" t="s">
        <v>495</v>
      </c>
    </row>
    <row r="19" spans="16:19" ht="19.5" thickTop="1">
      <c r="P19" s="12" t="s">
        <v>575</v>
      </c>
      <c r="Q19" s="12" t="s">
        <v>576</v>
      </c>
      <c r="R19" s="12">
        <v>0.75</v>
      </c>
      <c r="S19" s="12" t="s">
        <v>142</v>
      </c>
    </row>
    <row r="20" spans="16:19">
      <c r="P20" s="6"/>
      <c r="Q20" s="6" t="s">
        <v>577</v>
      </c>
      <c r="R20" s="12">
        <v>0.2</v>
      </c>
      <c r="S20" s="6" t="s">
        <v>142</v>
      </c>
    </row>
    <row r="21" spans="16:19">
      <c r="P21" s="6" t="s">
        <v>578</v>
      </c>
      <c r="Q21" s="6" t="s">
        <v>77</v>
      </c>
      <c r="R21" s="6">
        <f>'主翼(平面形)'!AI2</f>
        <v>0.38</v>
      </c>
      <c r="S21" s="6" t="s">
        <v>77</v>
      </c>
    </row>
  </sheetData>
  <phoneticPr fontId="2"/>
  <dataValidations count="1">
    <dataValidation type="list" allowBlank="1" showInputMessage="1" sqref="C3" xr:uid="{9A6D3779-3550-4835-8A82-E508F750C4C1}">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ImportAirfoil">
                <anchor moveWithCells="1" sizeWithCells="1">
                  <from>
                    <xdr:col>4</xdr:col>
                    <xdr:colOff>676275</xdr:colOff>
                    <xdr:row>1</xdr:row>
                    <xdr:rowOff>219075</xdr:rowOff>
                  </from>
                  <to>
                    <xdr:col>7</xdr:col>
                    <xdr:colOff>95250</xdr:colOff>
                    <xdr:row>3</xdr:row>
                    <xdr:rowOff>9525</xdr:rowOff>
                  </to>
                </anchor>
              </controlPr>
            </control>
          </mc:Choice>
        </mc:AlternateContent>
        <mc:AlternateContent xmlns:mc="http://schemas.openxmlformats.org/markup-compatibility/2006">
          <mc:Choice Requires="x14">
            <control shapeId="33795" r:id="rId4" name="Button 3">
              <controlPr defaultSize="0" print="0" autoFill="0" autoPict="0" macro="[0]!翼型幾何計算">
                <anchor moveWithCells="1" sizeWithCells="1">
                  <from>
                    <xdr:col>14</xdr:col>
                    <xdr:colOff>676275</xdr:colOff>
                    <xdr:row>11</xdr:row>
                    <xdr:rowOff>9525</xdr:rowOff>
                  </from>
                  <to>
                    <xdr:col>15</xdr:col>
                    <xdr:colOff>666750</xdr:colOff>
                    <xdr:row>12</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04B7C-EA91-445F-97F5-590319089713}">
  <sheetPr codeName="Sheet20">
    <tabColor theme="5" tint="0.79998168889431442"/>
  </sheetPr>
  <dimension ref="B3:AI31"/>
  <sheetViews>
    <sheetView zoomScaleNormal="85" workbookViewId="0">
      <selection activeCell="Q8" sqref="Q8"/>
    </sheetView>
  </sheetViews>
  <sheetFormatPr defaultRowHeight="18.75"/>
  <cols>
    <col min="3" max="3" width="10.125" bestFit="1" customWidth="1"/>
    <col min="4" max="4" width="11" customWidth="1"/>
    <col min="5" max="5" width="9.125" bestFit="1" customWidth="1"/>
  </cols>
  <sheetData>
    <row r="3" spans="2:35">
      <c r="B3" s="147" t="s">
        <v>579</v>
      </c>
      <c r="C3" s="143" t="s">
        <v>1179</v>
      </c>
      <c r="D3" s="143"/>
    </row>
    <row r="4" spans="2:35">
      <c r="S4" s="49" t="s">
        <v>1009</v>
      </c>
      <c r="T4" s="147" t="s">
        <v>1010</v>
      </c>
      <c r="U4" s="147" t="s">
        <v>1011</v>
      </c>
      <c r="V4" s="147" t="s">
        <v>1012</v>
      </c>
      <c r="W4" s="147" t="s">
        <v>1013</v>
      </c>
      <c r="X4" s="147" t="s">
        <v>1014</v>
      </c>
      <c r="Y4" s="147" t="s">
        <v>1015</v>
      </c>
      <c r="Z4" s="147" t="s">
        <v>1016</v>
      </c>
      <c r="AA4" s="147" t="s">
        <v>1017</v>
      </c>
      <c r="AB4" s="147" t="s">
        <v>1018</v>
      </c>
      <c r="AC4" s="147" t="s">
        <v>1019</v>
      </c>
      <c r="AD4" s="147" t="s">
        <v>1020</v>
      </c>
      <c r="AE4" s="147" t="s">
        <v>1021</v>
      </c>
      <c r="AF4" s="147" t="s">
        <v>1022</v>
      </c>
      <c r="AG4" s="147" t="s">
        <v>1023</v>
      </c>
      <c r="AH4" s="147" t="s">
        <v>1024</v>
      </c>
      <c r="AI4" s="147" t="s">
        <v>1025</v>
      </c>
    </row>
    <row r="5" spans="2:35" ht="19.5">
      <c r="B5" s="151" t="s">
        <v>561</v>
      </c>
      <c r="C5" s="151" t="s">
        <v>562</v>
      </c>
      <c r="D5" s="151" t="s">
        <v>563</v>
      </c>
      <c r="E5" s="151" t="s">
        <v>564</v>
      </c>
      <c r="S5" s="147" t="s">
        <v>566</v>
      </c>
      <c r="T5" s="49">
        <v>0.39686508855221359</v>
      </c>
      <c r="U5" s="49">
        <v>0.113843810347154</v>
      </c>
      <c r="V5" s="49">
        <v>2.9276023619042603E-4</v>
      </c>
      <c r="W5" s="49">
        <v>-7.7811518991310354E-5</v>
      </c>
      <c r="X5" s="49">
        <v>-1.5079961798220703E-5</v>
      </c>
      <c r="Y5" s="49">
        <v>-9.6909310776807971E-8</v>
      </c>
      <c r="Z5" s="49">
        <v>7.6265099270947341E-8</v>
      </c>
      <c r="AA5" s="49">
        <v>-1.6293344404527428E-9</v>
      </c>
      <c r="AB5" s="49">
        <v>-2.2684129766999399E-11</v>
      </c>
      <c r="AC5" s="49">
        <v>-4.732106478336137E-12</v>
      </c>
      <c r="AD5" s="49">
        <v>2.189173936331361E-13</v>
      </c>
      <c r="AE5" s="49"/>
      <c r="AF5" s="49"/>
      <c r="AG5" s="49"/>
      <c r="AH5" s="49"/>
      <c r="AI5" s="49"/>
    </row>
    <row r="6" spans="2:35" ht="19.5">
      <c r="B6" s="149" t="s">
        <v>565</v>
      </c>
      <c r="C6" s="150">
        <v>-10</v>
      </c>
      <c r="D6" s="150">
        <v>20</v>
      </c>
      <c r="E6" s="150">
        <v>0.1</v>
      </c>
      <c r="S6" s="147" t="s">
        <v>597</v>
      </c>
      <c r="T6" s="49">
        <v>0.21538780223796011</v>
      </c>
      <c r="U6" s="49">
        <v>-4.9116414864050252E-3</v>
      </c>
      <c r="V6" s="49">
        <v>9.6461803429076824E-4</v>
      </c>
      <c r="W6" s="49">
        <v>1.0205359500872517E-5</v>
      </c>
      <c r="X6" s="49">
        <v>-3.3467739531323353E-7</v>
      </c>
      <c r="Y6" s="49">
        <v>-1.3756842738485428E-7</v>
      </c>
      <c r="Z6" s="49">
        <v>8.3756320958298171E-9</v>
      </c>
      <c r="AA6" s="49">
        <v>5.3647003257026362E-10</v>
      </c>
      <c r="AB6" s="49">
        <v>-3.3563344999081503E-11</v>
      </c>
      <c r="AC6" s="49">
        <v>1.910085933340279E-14</v>
      </c>
      <c r="AD6" s="49">
        <v>1.139139907395922E-14</v>
      </c>
      <c r="AE6" s="49">
        <v>-5.2063882853515375E-2</v>
      </c>
      <c r="AF6" s="49">
        <v>3.9275816520679458E-5</v>
      </c>
      <c r="AG6" s="49">
        <v>4.7294297048208327E-4</v>
      </c>
      <c r="AH6" s="49">
        <v>7.756671753346014E-4</v>
      </c>
      <c r="AI6" s="49">
        <v>-1.481948189298954E-4</v>
      </c>
    </row>
    <row r="7" spans="2:35" ht="19.5">
      <c r="B7" s="149" t="s">
        <v>512</v>
      </c>
      <c r="C7" s="148">
        <v>300000</v>
      </c>
      <c r="D7" s="148">
        <v>700000</v>
      </c>
      <c r="E7" s="148">
        <v>20000</v>
      </c>
      <c r="S7" s="147" t="s">
        <v>567</v>
      </c>
      <c r="T7" s="49">
        <v>-0.42492666890858222</v>
      </c>
      <c r="U7" s="49">
        <v>1.4321079707234875E-2</v>
      </c>
      <c r="V7" s="49">
        <v>-4.7623659372709662E-4</v>
      </c>
      <c r="W7" s="49">
        <v>-2.3147404191102458E-6</v>
      </c>
      <c r="X7" s="49">
        <v>1.6611779543344418E-6</v>
      </c>
      <c r="Y7" s="49">
        <v>2.4655166868353882E-7</v>
      </c>
      <c r="Z7" s="49">
        <v>-1.5705136942136027E-8</v>
      </c>
      <c r="AA7" s="49">
        <v>-1.4037185580893538E-9</v>
      </c>
      <c r="AB7" s="49">
        <v>7.6634626434975749E-11</v>
      </c>
      <c r="AC7" s="49">
        <v>1.0162770779871759E-12</v>
      </c>
      <c r="AD7" s="49">
        <v>-6.7121802823361982E-14</v>
      </c>
      <c r="AE7" s="49">
        <v>9.3869240202734863E-2</v>
      </c>
      <c r="AF7" s="49">
        <v>-1.8534844348527513E-3</v>
      </c>
      <c r="AG7" s="49">
        <v>-7.144797769578704E-4</v>
      </c>
      <c r="AH7" s="49">
        <v>-2.4955289300262391E-3</v>
      </c>
      <c r="AI7" s="49">
        <v>8.2413839375234437E-5</v>
      </c>
    </row>
    <row r="9" spans="2:35">
      <c r="B9" s="147" t="s">
        <v>580</v>
      </c>
      <c r="C9" s="49">
        <v>9</v>
      </c>
    </row>
    <row r="11" spans="2:35">
      <c r="B11" s="147" t="s">
        <v>598</v>
      </c>
      <c r="C11" s="147"/>
      <c r="D11" s="49">
        <v>300000</v>
      </c>
    </row>
    <row r="13" spans="2:35">
      <c r="P13" s="2" t="s">
        <v>260</v>
      </c>
      <c r="Q13" s="2" t="s">
        <v>261</v>
      </c>
      <c r="R13" s="2" t="s">
        <v>262</v>
      </c>
      <c r="S13" s="2" t="s">
        <v>263</v>
      </c>
    </row>
    <row r="14" spans="2:35">
      <c r="P14" s="6" t="s">
        <v>569</v>
      </c>
      <c r="Q14" s="6" t="s">
        <v>570</v>
      </c>
      <c r="R14" s="6">
        <v>2.052682113434074</v>
      </c>
      <c r="S14" s="6" t="s">
        <v>145</v>
      </c>
    </row>
    <row r="15" spans="2:35">
      <c r="C15" t="s">
        <v>1039</v>
      </c>
      <c r="I15" t="s">
        <v>1039</v>
      </c>
      <c r="P15" s="6"/>
      <c r="Q15" s="6" t="s">
        <v>571</v>
      </c>
      <c r="R15" s="6">
        <v>0.99520549269468939</v>
      </c>
      <c r="S15" s="6" t="s">
        <v>145</v>
      </c>
    </row>
    <row r="16" spans="2:35">
      <c r="P16" s="6"/>
      <c r="Q16" s="6" t="s">
        <v>572</v>
      </c>
      <c r="R16" s="6">
        <v>1.0574766207393846</v>
      </c>
      <c r="S16" s="6" t="s">
        <v>145</v>
      </c>
    </row>
    <row r="17" spans="3:19">
      <c r="P17" s="6"/>
      <c r="Q17" s="6" t="s">
        <v>573</v>
      </c>
      <c r="R17" s="6">
        <v>8.8635438466025007E-2</v>
      </c>
      <c r="S17" s="6" t="s">
        <v>331</v>
      </c>
    </row>
    <row r="18" spans="3:19" ht="19.5" thickBot="1">
      <c r="P18" s="11"/>
      <c r="Q18" s="11" t="s">
        <v>574</v>
      </c>
      <c r="R18" s="11">
        <v>13.052013339722604</v>
      </c>
      <c r="S18" s="11" t="s">
        <v>495</v>
      </c>
    </row>
    <row r="19" spans="3:19" ht="19.5" thickTop="1">
      <c r="P19" s="12" t="s">
        <v>575</v>
      </c>
      <c r="Q19" s="12" t="s">
        <v>576</v>
      </c>
      <c r="R19" s="12">
        <v>0.75</v>
      </c>
      <c r="S19" s="12" t="s">
        <v>142</v>
      </c>
    </row>
    <row r="20" spans="3:19">
      <c r="P20" s="6"/>
      <c r="Q20" s="6" t="s">
        <v>577</v>
      </c>
      <c r="R20" s="12">
        <v>0.2</v>
      </c>
      <c r="S20" s="6" t="s">
        <v>142</v>
      </c>
    </row>
    <row r="21" spans="3:19">
      <c r="P21" s="6" t="s">
        <v>578</v>
      </c>
      <c r="Q21" s="6" t="s">
        <v>77</v>
      </c>
      <c r="R21" s="6">
        <f>'主翼(平面形)'!AI2</f>
        <v>0.38</v>
      </c>
      <c r="S21" s="6" t="s">
        <v>77</v>
      </c>
    </row>
    <row r="31" spans="3:19">
      <c r="C31" t="s">
        <v>1039</v>
      </c>
      <c r="I31" t="s">
        <v>1039</v>
      </c>
    </row>
  </sheetData>
  <phoneticPr fontId="2"/>
  <dataValidations count="1">
    <dataValidation type="list" allowBlank="1" showInputMessage="1" sqref="C3" xr:uid="{54D67642-7DFA-4534-87D0-7912E5100B5F}">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ImportAirfoil">
                <anchor moveWithCells="1" sizeWithCells="1">
                  <from>
                    <xdr:col>4</xdr:col>
                    <xdr:colOff>676275</xdr:colOff>
                    <xdr:row>1</xdr:row>
                    <xdr:rowOff>219075</xdr:rowOff>
                  </from>
                  <to>
                    <xdr:col>7</xdr:col>
                    <xdr:colOff>95250</xdr:colOff>
                    <xdr:row>3</xdr:row>
                    <xdr:rowOff>9525</xdr:rowOff>
                  </to>
                </anchor>
              </controlPr>
            </control>
          </mc:Choice>
        </mc:AlternateContent>
        <mc:AlternateContent xmlns:mc="http://schemas.openxmlformats.org/markup-compatibility/2006">
          <mc:Choice Requires="x14">
            <control shapeId="34819" r:id="rId4" name="Button 3">
              <controlPr defaultSize="0" print="0" autoFill="0" autoPict="0" macro="[0]!翼型幾何計算">
                <anchor moveWithCells="1" sizeWithCells="1">
                  <from>
                    <xdr:col>15</xdr:col>
                    <xdr:colOff>9525</xdr:colOff>
                    <xdr:row>10</xdr:row>
                    <xdr:rowOff>219075</xdr:rowOff>
                  </from>
                  <to>
                    <xdr:col>16</xdr:col>
                    <xdr:colOff>19050</xdr:colOff>
                    <xdr:row>11</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0B453-AF8B-4F15-81AB-3972032B655D}">
  <sheetPr codeName="Sheet21">
    <tabColor theme="5" tint="0.79998168889431442"/>
  </sheetPr>
  <dimension ref="B3:AI21"/>
  <sheetViews>
    <sheetView topLeftCell="J12" zoomScale="202" zoomScaleNormal="85" workbookViewId="0">
      <selection activeCell="O4" sqref="O4"/>
    </sheetView>
  </sheetViews>
  <sheetFormatPr defaultRowHeight="18.75"/>
  <cols>
    <col min="3" max="3" width="10.125" bestFit="1" customWidth="1"/>
    <col min="4" max="4" width="11" customWidth="1"/>
    <col min="5" max="5" width="9.125" bestFit="1" customWidth="1"/>
    <col min="20" max="21" width="9.125" bestFit="1" customWidth="1"/>
    <col min="22" max="22" width="9.5" bestFit="1" customWidth="1"/>
    <col min="23" max="30" width="16" bestFit="1" customWidth="1"/>
    <col min="31" max="33" width="9.125" bestFit="1" customWidth="1"/>
    <col min="34" max="34" width="9.5" bestFit="1" customWidth="1"/>
    <col min="35" max="35" width="15.125" bestFit="1" customWidth="1"/>
  </cols>
  <sheetData>
    <row r="3" spans="2:35">
      <c r="B3" s="147" t="s">
        <v>579</v>
      </c>
      <c r="C3" s="143" t="s">
        <v>554</v>
      </c>
      <c r="D3" s="143"/>
    </row>
    <row r="4" spans="2:35">
      <c r="S4" s="49" t="s">
        <v>1009</v>
      </c>
      <c r="T4" s="147" t="s">
        <v>1010</v>
      </c>
      <c r="U4" s="147" t="s">
        <v>1011</v>
      </c>
      <c r="V4" s="147" t="s">
        <v>1012</v>
      </c>
      <c r="W4" s="147" t="s">
        <v>1013</v>
      </c>
      <c r="X4" s="147" t="s">
        <v>1014</v>
      </c>
      <c r="Y4" s="147" t="s">
        <v>1015</v>
      </c>
      <c r="Z4" s="147" t="s">
        <v>1016</v>
      </c>
      <c r="AA4" s="147" t="s">
        <v>1017</v>
      </c>
      <c r="AB4" s="147" t="s">
        <v>1018</v>
      </c>
      <c r="AC4" s="147" t="s">
        <v>1019</v>
      </c>
      <c r="AD4" s="147" t="s">
        <v>1020</v>
      </c>
      <c r="AE4" s="147" t="s">
        <v>1021</v>
      </c>
      <c r="AF4" s="147" t="s">
        <v>1022</v>
      </c>
      <c r="AG4" s="147" t="s">
        <v>1023</v>
      </c>
      <c r="AH4" s="147" t="s">
        <v>1024</v>
      </c>
      <c r="AI4" s="147" t="s">
        <v>1025</v>
      </c>
    </row>
    <row r="5" spans="2:35" ht="19.5">
      <c r="B5" s="151" t="s">
        <v>561</v>
      </c>
      <c r="C5" s="151" t="s">
        <v>562</v>
      </c>
      <c r="D5" s="151" t="s">
        <v>563</v>
      </c>
      <c r="E5" s="151" t="s">
        <v>564</v>
      </c>
      <c r="S5" s="147" t="s">
        <v>566</v>
      </c>
      <c r="T5" s="49">
        <v>0.50386537195569536</v>
      </c>
      <c r="U5" s="49">
        <v>0.11517317579948429</v>
      </c>
      <c r="V5" s="49">
        <v>2.3729276956796644E-3</v>
      </c>
      <c r="W5" s="49">
        <v>-4.5445260061831244E-5</v>
      </c>
      <c r="X5" s="49">
        <v>-9.3668290578557159E-5</v>
      </c>
      <c r="Y5" s="49">
        <v>-2.1308472233472673E-6</v>
      </c>
      <c r="Z5" s="49">
        <v>9.5309704973939763E-7</v>
      </c>
      <c r="AA5" s="49">
        <v>-6.9963948368240522E-9</v>
      </c>
      <c r="AB5" s="49">
        <v>-3.570547399869297E-9</v>
      </c>
      <c r="AC5" s="49">
        <v>1.4164862889628918E-10</v>
      </c>
      <c r="AD5" s="49">
        <v>-1.2982893050026378E-12</v>
      </c>
      <c r="AE5" s="49"/>
      <c r="AF5" s="49"/>
      <c r="AG5" s="49"/>
      <c r="AH5" s="49"/>
      <c r="AI5" s="49"/>
    </row>
    <row r="6" spans="2:35" ht="19.5">
      <c r="B6" s="149" t="s">
        <v>565</v>
      </c>
      <c r="C6" s="150">
        <v>-10</v>
      </c>
      <c r="D6" s="150">
        <v>20</v>
      </c>
      <c r="E6" s="150">
        <v>0.1</v>
      </c>
      <c r="S6" s="147" t="s">
        <v>597</v>
      </c>
      <c r="T6" s="49">
        <v>0.17148275289129128</v>
      </c>
      <c r="U6" s="49">
        <v>-2.714776602150634E-3</v>
      </c>
      <c r="V6" s="49">
        <v>8.0055176042167402E-4</v>
      </c>
      <c r="W6" s="49">
        <v>-5.754352118348657E-6</v>
      </c>
      <c r="X6" s="49">
        <v>1.7850360635602802E-6</v>
      </c>
      <c r="Y6" s="49">
        <v>2.4859769174037835E-7</v>
      </c>
      <c r="Z6" s="49">
        <v>-1.3990725256919326E-8</v>
      </c>
      <c r="AA6" s="49">
        <v>-1.6478176242693576E-9</v>
      </c>
      <c r="AB6" s="49">
        <v>8.5007988914851212E-11</v>
      </c>
      <c r="AC6" s="49">
        <v>2.1079649439325808E-12</v>
      </c>
      <c r="AD6" s="49">
        <v>-1.1433941926667621E-13</v>
      </c>
      <c r="AE6" s="49">
        <v>-4.2664837074197805E-2</v>
      </c>
      <c r="AF6" s="49">
        <v>6.7708798174980975E-4</v>
      </c>
      <c r="AG6" s="49">
        <v>3.1541674451592282E-4</v>
      </c>
      <c r="AH6" s="49">
        <v>4.1681970965499934E-4</v>
      </c>
      <c r="AI6" s="49">
        <v>-1.3622206605793454E-4</v>
      </c>
    </row>
    <row r="7" spans="2:35" ht="19.5">
      <c r="B7" s="149" t="s">
        <v>512</v>
      </c>
      <c r="C7" s="148">
        <v>300000</v>
      </c>
      <c r="D7" s="148">
        <v>800000</v>
      </c>
      <c r="E7" s="148">
        <v>20000</v>
      </c>
      <c r="S7" s="147" t="s">
        <v>567</v>
      </c>
      <c r="T7" s="49">
        <v>-0.32224524264417864</v>
      </c>
      <c r="U7" s="49">
        <v>3.1308081334259917E-3</v>
      </c>
      <c r="V7" s="49">
        <v>-6.3363802672032274E-4</v>
      </c>
      <c r="W7" s="49">
        <v>6.8337512979873619E-5</v>
      </c>
      <c r="X7" s="49">
        <v>1.6537294930076717E-5</v>
      </c>
      <c r="Y7" s="49">
        <v>-9.2223226253483383E-7</v>
      </c>
      <c r="Z7" s="49">
        <v>-1.7197289629672352E-7</v>
      </c>
      <c r="AA7" s="49">
        <v>1.0747491178857151E-8</v>
      </c>
      <c r="AB7" s="49">
        <v>4.9842928079220825E-10</v>
      </c>
      <c r="AC7" s="49">
        <v>-5.0157385333177268E-11</v>
      </c>
      <c r="AD7" s="49">
        <v>9.9272155773933074E-13</v>
      </c>
      <c r="AE7" s="49">
        <v>0.10705990395800717</v>
      </c>
      <c r="AF7" s="49">
        <v>-1.7395485735556371E-2</v>
      </c>
      <c r="AG7" s="49">
        <v>9.0859453886682983E-4</v>
      </c>
      <c r="AH7" s="49">
        <v>-8.6755857117190235E-4</v>
      </c>
      <c r="AI7" s="49">
        <v>4.6318589987418566E-5</v>
      </c>
    </row>
    <row r="8" spans="2:35">
      <c r="Q8" t="s">
        <v>581</v>
      </c>
    </row>
    <row r="9" spans="2:35">
      <c r="B9" s="147" t="s">
        <v>580</v>
      </c>
      <c r="C9" s="49">
        <v>5</v>
      </c>
    </row>
    <row r="11" spans="2:35">
      <c r="B11" s="147" t="s">
        <v>598</v>
      </c>
      <c r="C11" s="147"/>
      <c r="D11" s="49">
        <v>500000</v>
      </c>
    </row>
    <row r="13" spans="2:35">
      <c r="P13" s="2" t="s">
        <v>260</v>
      </c>
      <c r="Q13" s="2" t="s">
        <v>261</v>
      </c>
      <c r="R13" s="2" t="s">
        <v>262</v>
      </c>
      <c r="S13" s="2" t="s">
        <v>263</v>
      </c>
    </row>
    <row r="14" spans="2:35">
      <c r="P14" s="6" t="s">
        <v>569</v>
      </c>
      <c r="Q14" s="6" t="s">
        <v>570</v>
      </c>
      <c r="R14" s="6">
        <v>2.0572775258919584</v>
      </c>
      <c r="S14" s="6" t="s">
        <v>145</v>
      </c>
    </row>
    <row r="15" spans="2:35">
      <c r="P15" s="6"/>
      <c r="Q15" s="6" t="s">
        <v>571</v>
      </c>
      <c r="R15" s="6">
        <v>0</v>
      </c>
      <c r="S15" s="6" t="s">
        <v>145</v>
      </c>
    </row>
    <row r="16" spans="2:35">
      <c r="P16" s="6"/>
      <c r="Q16" s="6" t="s">
        <v>572</v>
      </c>
      <c r="R16" s="6">
        <v>1.060612749185772</v>
      </c>
      <c r="S16" s="6" t="s">
        <v>145</v>
      </c>
    </row>
    <row r="17" spans="16:19">
      <c r="P17" s="6"/>
      <c r="Q17" s="6" t="s">
        <v>573</v>
      </c>
      <c r="R17" s="6">
        <v>9.7279767878340015E-2</v>
      </c>
      <c r="S17" s="6" t="s">
        <v>331</v>
      </c>
    </row>
    <row r="18" spans="16:19" ht="19.5" thickBot="1">
      <c r="P18" s="11"/>
      <c r="Q18" s="11" t="s">
        <v>574</v>
      </c>
      <c r="R18" s="11">
        <v>14.634893218689532</v>
      </c>
      <c r="S18" s="11" t="s">
        <v>495</v>
      </c>
    </row>
    <row r="19" spans="16:19" ht="19.5" thickTop="1">
      <c r="P19" s="12" t="s">
        <v>575</v>
      </c>
      <c r="Q19" s="12" t="s">
        <v>576</v>
      </c>
      <c r="R19" s="12">
        <v>0.75</v>
      </c>
      <c r="S19" s="12" t="s">
        <v>142</v>
      </c>
    </row>
    <row r="20" spans="16:19">
      <c r="P20" s="6"/>
      <c r="Q20" s="6" t="s">
        <v>577</v>
      </c>
      <c r="R20" s="12">
        <v>0.2</v>
      </c>
      <c r="S20" s="6" t="s">
        <v>142</v>
      </c>
    </row>
    <row r="21" spans="16:19">
      <c r="P21" s="6" t="s">
        <v>578</v>
      </c>
      <c r="Q21" s="6" t="s">
        <v>77</v>
      </c>
      <c r="R21" s="6">
        <f>'主翼(平面形)'!AI2</f>
        <v>0.38</v>
      </c>
      <c r="S21" s="6" t="s">
        <v>77</v>
      </c>
    </row>
  </sheetData>
  <phoneticPr fontId="2"/>
  <dataValidations count="1">
    <dataValidation type="list" allowBlank="1" showInputMessage="1" sqref="C3" xr:uid="{78307BA1-AE34-4C37-800B-7E9346EBE1C3}">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ImportAirfoil">
                <anchor moveWithCells="1" sizeWithCells="1">
                  <from>
                    <xdr:col>4</xdr:col>
                    <xdr:colOff>676275</xdr:colOff>
                    <xdr:row>1</xdr:row>
                    <xdr:rowOff>219075</xdr:rowOff>
                  </from>
                  <to>
                    <xdr:col>7</xdr:col>
                    <xdr:colOff>85725</xdr:colOff>
                    <xdr:row>3</xdr:row>
                    <xdr:rowOff>19050</xdr:rowOff>
                  </to>
                </anchor>
              </controlPr>
            </control>
          </mc:Choice>
        </mc:AlternateContent>
        <mc:AlternateContent xmlns:mc="http://schemas.openxmlformats.org/markup-compatibility/2006">
          <mc:Choice Requires="x14">
            <control shapeId="51203" r:id="rId4" name="Button 3">
              <controlPr defaultSize="0" print="0" autoFill="0" autoPict="0" macro="[0]!翼型幾何計算">
                <anchor moveWithCells="1" sizeWithCells="1">
                  <from>
                    <xdr:col>14</xdr:col>
                    <xdr:colOff>666750</xdr:colOff>
                    <xdr:row>10</xdr:row>
                    <xdr:rowOff>228600</xdr:rowOff>
                  </from>
                  <to>
                    <xdr:col>16</xdr:col>
                    <xdr:colOff>9525</xdr:colOff>
                    <xdr:row>11</xdr:row>
                    <xdr:rowOff>228600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B6BAAF-4394-461E-BE37-714A29CB9948}">
  <sheetPr codeName="Sheet22">
    <tabColor theme="5" tint="0.79998168889431442"/>
  </sheetPr>
  <dimension ref="B3:AI21"/>
  <sheetViews>
    <sheetView zoomScale="101" zoomScaleNormal="85" workbookViewId="0">
      <selection activeCell="H6" sqref="H6"/>
    </sheetView>
  </sheetViews>
  <sheetFormatPr defaultRowHeight="18.75"/>
  <cols>
    <col min="3" max="3" width="10.125" bestFit="1" customWidth="1"/>
    <col min="4" max="4" width="11" customWidth="1"/>
    <col min="5" max="5" width="9.125" bestFit="1" customWidth="1"/>
  </cols>
  <sheetData>
    <row r="3" spans="2:35">
      <c r="B3" s="147" t="s">
        <v>579</v>
      </c>
      <c r="C3" s="143" t="s">
        <v>554</v>
      </c>
      <c r="D3" s="143"/>
    </row>
    <row r="4" spans="2:35">
      <c r="S4" s="49" t="s">
        <v>1009</v>
      </c>
      <c r="T4" s="147" t="s">
        <v>1010</v>
      </c>
      <c r="U4" s="147" t="s">
        <v>1011</v>
      </c>
      <c r="V4" s="147" t="s">
        <v>1012</v>
      </c>
      <c r="W4" s="147" t="s">
        <v>1013</v>
      </c>
      <c r="X4" s="147" t="s">
        <v>1014</v>
      </c>
      <c r="Y4" s="147" t="s">
        <v>1015</v>
      </c>
      <c r="Z4" s="147" t="s">
        <v>1016</v>
      </c>
      <c r="AA4" s="147" t="s">
        <v>1017</v>
      </c>
      <c r="AB4" s="147" t="s">
        <v>1018</v>
      </c>
      <c r="AC4" s="147" t="s">
        <v>1019</v>
      </c>
      <c r="AD4" s="147" t="s">
        <v>1020</v>
      </c>
      <c r="AE4" s="147" t="s">
        <v>1021</v>
      </c>
      <c r="AF4" s="147" t="s">
        <v>1022</v>
      </c>
      <c r="AG4" s="147" t="s">
        <v>1023</v>
      </c>
      <c r="AH4" s="147" t="s">
        <v>1024</v>
      </c>
      <c r="AI4" s="147" t="s">
        <v>1025</v>
      </c>
    </row>
    <row r="5" spans="2:35" ht="19.5">
      <c r="B5" s="151" t="s">
        <v>561</v>
      </c>
      <c r="C5" s="151" t="s">
        <v>562</v>
      </c>
      <c r="D5" s="151" t="s">
        <v>563</v>
      </c>
      <c r="E5" s="151" t="s">
        <v>564</v>
      </c>
      <c r="S5" s="147" t="s">
        <v>566</v>
      </c>
      <c r="T5" s="49">
        <v>0.50386537195569536</v>
      </c>
      <c r="U5" s="49">
        <v>0.11517317579948429</v>
      </c>
      <c r="V5" s="49">
        <v>2.3729276956796644E-3</v>
      </c>
      <c r="W5" s="49">
        <v>-4.5445260061831244E-5</v>
      </c>
      <c r="X5" s="49">
        <v>-9.3668290578557159E-5</v>
      </c>
      <c r="Y5" s="49">
        <v>-2.1308472233472673E-6</v>
      </c>
      <c r="Z5" s="49">
        <v>9.5309704973939763E-7</v>
      </c>
      <c r="AA5" s="49">
        <v>-6.9963948368240522E-9</v>
      </c>
      <c r="AB5" s="49">
        <v>-3.570547399869297E-9</v>
      </c>
      <c r="AC5" s="49">
        <v>1.4164862889628918E-10</v>
      </c>
      <c r="AD5" s="49">
        <v>-1.2982893050026378E-12</v>
      </c>
      <c r="AE5" s="49"/>
      <c r="AF5" s="49"/>
      <c r="AG5" s="49"/>
      <c r="AH5" s="49"/>
      <c r="AI5" s="49"/>
    </row>
    <row r="6" spans="2:35" ht="19.5">
      <c r="B6" s="149" t="s">
        <v>565</v>
      </c>
      <c r="C6" s="150">
        <v>-10</v>
      </c>
      <c r="D6" s="150">
        <v>20</v>
      </c>
      <c r="E6" s="150">
        <v>0.1</v>
      </c>
      <c r="S6" s="147" t="s">
        <v>597</v>
      </c>
      <c r="T6" s="49">
        <v>0.17148275289129128</v>
      </c>
      <c r="U6" s="49">
        <v>-2.714776602150634E-3</v>
      </c>
      <c r="V6" s="49">
        <v>8.0055176042167402E-4</v>
      </c>
      <c r="W6" s="49">
        <v>-5.754352118348657E-6</v>
      </c>
      <c r="X6" s="49">
        <v>1.7850360635602802E-6</v>
      </c>
      <c r="Y6" s="49">
        <v>2.4859769174037835E-7</v>
      </c>
      <c r="Z6" s="49">
        <v>-1.3990725256919326E-8</v>
      </c>
      <c r="AA6" s="49">
        <v>-1.6478176242693576E-9</v>
      </c>
      <c r="AB6" s="49">
        <v>8.5007988914851212E-11</v>
      </c>
      <c r="AC6" s="49">
        <v>2.1079649439325808E-12</v>
      </c>
      <c r="AD6" s="49">
        <v>-1.1433941926667621E-13</v>
      </c>
      <c r="AE6" s="49">
        <v>-4.2664837074197805E-2</v>
      </c>
      <c r="AF6" s="49">
        <v>6.7708798174980975E-4</v>
      </c>
      <c r="AG6" s="49">
        <v>3.1541674451592282E-4</v>
      </c>
      <c r="AH6" s="49">
        <v>4.1681970965499934E-4</v>
      </c>
      <c r="AI6" s="49">
        <v>-1.3622206605793454E-4</v>
      </c>
    </row>
    <row r="7" spans="2:35" ht="19.5">
      <c r="B7" s="149" t="s">
        <v>512</v>
      </c>
      <c r="C7" s="148">
        <v>300000</v>
      </c>
      <c r="D7" s="148">
        <v>800000</v>
      </c>
      <c r="E7" s="148">
        <v>20000</v>
      </c>
      <c r="S7" s="147" t="s">
        <v>567</v>
      </c>
      <c r="T7" s="49">
        <v>-0.32224524264417864</v>
      </c>
      <c r="U7" s="49">
        <v>3.1308081334259917E-3</v>
      </c>
      <c r="V7" s="49">
        <v>-6.3363802672032274E-4</v>
      </c>
      <c r="W7" s="49">
        <v>6.8337512979873619E-5</v>
      </c>
      <c r="X7" s="49">
        <v>1.6537294930076717E-5</v>
      </c>
      <c r="Y7" s="49">
        <v>-9.2223226253483383E-7</v>
      </c>
      <c r="Z7" s="49">
        <v>-1.7197289629672352E-7</v>
      </c>
      <c r="AA7" s="49">
        <v>1.0747491178857151E-8</v>
      </c>
      <c r="AB7" s="49">
        <v>4.9842928079220825E-10</v>
      </c>
      <c r="AC7" s="49">
        <v>-5.0157385333177268E-11</v>
      </c>
      <c r="AD7" s="49">
        <v>9.9272155773933074E-13</v>
      </c>
      <c r="AE7" s="49">
        <v>0.10705990395800717</v>
      </c>
      <c r="AF7" s="49">
        <v>-1.7395485735556371E-2</v>
      </c>
      <c r="AG7" s="49">
        <v>9.0859453886682983E-4</v>
      </c>
      <c r="AH7" s="49">
        <v>-8.6755857117190235E-4</v>
      </c>
      <c r="AI7" s="49">
        <v>4.6318589987418566E-5</v>
      </c>
    </row>
    <row r="8" spans="2:35">
      <c r="Q8" t="s">
        <v>581</v>
      </c>
    </row>
    <row r="9" spans="2:35">
      <c r="B9" s="147" t="s">
        <v>580</v>
      </c>
      <c r="C9" s="49">
        <v>5</v>
      </c>
    </row>
    <row r="11" spans="2:35">
      <c r="B11" s="147" t="s">
        <v>598</v>
      </c>
      <c r="C11" s="147"/>
      <c r="D11" s="49">
        <v>500000</v>
      </c>
    </row>
    <row r="13" spans="2:35">
      <c r="P13" s="2" t="s">
        <v>260</v>
      </c>
      <c r="Q13" s="2" t="s">
        <v>261</v>
      </c>
      <c r="R13" s="2" t="s">
        <v>262</v>
      </c>
      <c r="S13" s="2" t="s">
        <v>263</v>
      </c>
    </row>
    <row r="14" spans="2:35">
      <c r="P14" s="6" t="s">
        <v>569</v>
      </c>
      <c r="Q14" s="6" t="s">
        <v>570</v>
      </c>
      <c r="R14" s="6">
        <v>2.0572775258919584</v>
      </c>
      <c r="S14" s="6" t="s">
        <v>145</v>
      </c>
    </row>
    <row r="15" spans="2:35">
      <c r="P15" s="6"/>
      <c r="Q15" s="6" t="s">
        <v>571</v>
      </c>
      <c r="R15" s="6">
        <v>0.99666477670618647</v>
      </c>
      <c r="S15" s="6" t="s">
        <v>145</v>
      </c>
    </row>
    <row r="16" spans="2:35">
      <c r="P16" s="6"/>
      <c r="Q16" s="6" t="s">
        <v>572</v>
      </c>
      <c r="R16" s="6">
        <v>1.060612749185772</v>
      </c>
      <c r="S16" s="6" t="s">
        <v>145</v>
      </c>
    </row>
    <row r="17" spans="16:19">
      <c r="P17" s="6"/>
      <c r="Q17" s="6" t="s">
        <v>573</v>
      </c>
      <c r="R17" s="6">
        <v>9.7279767878340015E-2</v>
      </c>
      <c r="S17" s="6" t="s">
        <v>331</v>
      </c>
    </row>
    <row r="18" spans="16:19" ht="19.5" thickBot="1">
      <c r="P18" s="11"/>
      <c r="Q18" s="11" t="s">
        <v>574</v>
      </c>
      <c r="R18" s="11">
        <v>14.634893218689532</v>
      </c>
      <c r="S18" s="11" t="s">
        <v>495</v>
      </c>
    </row>
    <row r="19" spans="16:19" ht="19.5" thickTop="1">
      <c r="P19" s="12" t="s">
        <v>575</v>
      </c>
      <c r="Q19" s="12" t="s">
        <v>576</v>
      </c>
      <c r="R19" s="12">
        <v>0.75</v>
      </c>
      <c r="S19" s="12" t="s">
        <v>142</v>
      </c>
    </row>
    <row r="20" spans="16:19">
      <c r="P20" s="6"/>
      <c r="Q20" s="6" t="s">
        <v>577</v>
      </c>
      <c r="R20" s="12">
        <v>0.2</v>
      </c>
      <c r="S20" s="6" t="s">
        <v>142</v>
      </c>
    </row>
    <row r="21" spans="16:19">
      <c r="P21" s="6" t="s">
        <v>578</v>
      </c>
      <c r="Q21" s="6" t="s">
        <v>77</v>
      </c>
      <c r="R21" s="6">
        <f>'主翼(平面形)'!AI2</f>
        <v>0.38</v>
      </c>
      <c r="S21" s="6" t="s">
        <v>77</v>
      </c>
    </row>
  </sheetData>
  <phoneticPr fontId="2"/>
  <dataValidations count="1">
    <dataValidation type="list" allowBlank="1" showInputMessage="1" sqref="C3" xr:uid="{0868F6D8-BF91-449E-94DB-BEA1A0673B25}">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3249" r:id="rId3" name="Button 1">
              <controlPr defaultSize="0" print="0" autoFill="0" autoPict="0" macro="[0]!ImportAirfoil">
                <anchor moveWithCells="1" sizeWithCells="1">
                  <from>
                    <xdr:col>4</xdr:col>
                    <xdr:colOff>676275</xdr:colOff>
                    <xdr:row>1</xdr:row>
                    <xdr:rowOff>219075</xdr:rowOff>
                  </from>
                  <to>
                    <xdr:col>7</xdr:col>
                    <xdr:colOff>85725</xdr:colOff>
                    <xdr:row>3</xdr:row>
                    <xdr:rowOff>19050</xdr:rowOff>
                  </to>
                </anchor>
              </controlPr>
            </control>
          </mc:Choice>
        </mc:AlternateContent>
        <mc:AlternateContent xmlns:mc="http://schemas.openxmlformats.org/markup-compatibility/2006">
          <mc:Choice Requires="x14">
            <control shapeId="53250" r:id="rId4" name="Button 2">
              <controlPr defaultSize="0" print="0" autoFill="0" autoPict="0" macro="[0]!翼型幾何計算">
                <anchor moveWithCells="1" sizeWithCells="1">
                  <from>
                    <xdr:col>14</xdr:col>
                    <xdr:colOff>666750</xdr:colOff>
                    <xdr:row>10</xdr:row>
                    <xdr:rowOff>228600</xdr:rowOff>
                  </from>
                  <to>
                    <xdr:col>16</xdr:col>
                    <xdr:colOff>9525</xdr:colOff>
                    <xdr:row>11</xdr:row>
                    <xdr:rowOff>228600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DDA29-AEC7-4B18-8B86-35FB523CDB70}">
  <sheetPr codeName="Sheet4">
    <tabColor theme="3" tint="0.749992370372631"/>
  </sheetPr>
  <dimension ref="A1:Z27"/>
  <sheetViews>
    <sheetView zoomScale="75" zoomScaleNormal="67" workbookViewId="0">
      <selection activeCell="I20" sqref="I20"/>
    </sheetView>
  </sheetViews>
  <sheetFormatPr defaultRowHeight="18.75"/>
  <cols>
    <col min="8" max="8" width="9.625" customWidth="1"/>
  </cols>
  <sheetData>
    <row r="1" spans="2:15">
      <c r="F1" s="23"/>
    </row>
    <row r="2" spans="2:15" ht="19.5" thickBot="1">
      <c r="B2" t="s">
        <v>305</v>
      </c>
      <c r="G2" t="s">
        <v>306</v>
      </c>
      <c r="L2" t="s">
        <v>307</v>
      </c>
      <c r="O2" t="s">
        <v>308</v>
      </c>
    </row>
    <row r="3" spans="2:15">
      <c r="G3" s="46" t="s">
        <v>309</v>
      </c>
      <c r="H3" s="47" t="s">
        <v>310</v>
      </c>
      <c r="I3" s="47" t="s">
        <v>311</v>
      </c>
      <c r="J3" s="48" t="s">
        <v>312</v>
      </c>
      <c r="L3" s="49" t="s">
        <v>313</v>
      </c>
      <c r="M3" s="50" t="s">
        <v>506</v>
      </c>
      <c r="N3" s="51"/>
    </row>
    <row r="4" spans="2:15">
      <c r="G4" s="52" t="s">
        <v>314</v>
      </c>
      <c r="H4" s="7" t="s">
        <v>315</v>
      </c>
      <c r="I4" s="7">
        <f>D14</f>
        <v>10.5</v>
      </c>
      <c r="J4" s="53" t="s">
        <v>316</v>
      </c>
      <c r="L4" s="49" t="s">
        <v>317</v>
      </c>
      <c r="M4" s="50" t="s">
        <v>507</v>
      </c>
      <c r="N4" s="51"/>
    </row>
    <row r="5" spans="2:15">
      <c r="G5" s="52" t="s">
        <v>318</v>
      </c>
      <c r="H5" s="7" t="s">
        <v>319</v>
      </c>
      <c r="I5" s="7">
        <f>D73+D74</f>
        <v>0</v>
      </c>
      <c r="J5" s="53" t="s">
        <v>320</v>
      </c>
      <c r="L5" s="49" t="s">
        <v>321</v>
      </c>
      <c r="M5" s="49"/>
      <c r="N5" s="49" t="s">
        <v>145</v>
      </c>
    </row>
    <row r="6" spans="2:15">
      <c r="G6" s="52" t="s">
        <v>323</v>
      </c>
      <c r="H6" s="7" t="s">
        <v>324</v>
      </c>
      <c r="I6" s="7">
        <f>I5+D16</f>
        <v>67</v>
      </c>
      <c r="J6" s="53" t="s">
        <v>320</v>
      </c>
      <c r="L6" s="49" t="s">
        <v>325</v>
      </c>
      <c r="M6" s="49"/>
      <c r="N6" s="49" t="s">
        <v>145</v>
      </c>
    </row>
    <row r="7" spans="2:15" ht="19.5" thickBot="1">
      <c r="G7" s="54" t="s">
        <v>326</v>
      </c>
      <c r="H7" s="55" t="s">
        <v>327</v>
      </c>
      <c r="I7" s="56">
        <v>3</v>
      </c>
      <c r="J7" s="57" t="s">
        <v>328</v>
      </c>
      <c r="L7" s="49" t="s">
        <v>329</v>
      </c>
      <c r="M7" s="49"/>
      <c r="N7" s="49" t="s">
        <v>145</v>
      </c>
    </row>
    <row r="8" spans="2:15" ht="19.5" thickTop="1">
      <c r="G8" s="58" t="s">
        <v>330</v>
      </c>
      <c r="H8" s="13" t="s">
        <v>273</v>
      </c>
      <c r="I8" s="13">
        <v>20.3</v>
      </c>
      <c r="J8" s="59" t="s">
        <v>331</v>
      </c>
    </row>
    <row r="9" spans="2:15">
      <c r="G9" s="52" t="s">
        <v>332</v>
      </c>
      <c r="H9" s="7" t="s">
        <v>265</v>
      </c>
      <c r="I9" s="7">
        <v>5.42</v>
      </c>
      <c r="J9" s="53" t="s">
        <v>333</v>
      </c>
    </row>
    <row r="10" spans="2:15">
      <c r="G10" s="52" t="s">
        <v>334</v>
      </c>
      <c r="H10" s="7" t="s">
        <v>266</v>
      </c>
      <c r="I10" s="7">
        <f>D20</f>
        <v>26.5</v>
      </c>
      <c r="J10" s="53" t="s">
        <v>145</v>
      </c>
    </row>
    <row r="11" spans="2:15">
      <c r="G11" s="52" t="s">
        <v>335</v>
      </c>
      <c r="H11" s="7" t="s">
        <v>336</v>
      </c>
      <c r="I11" s="7">
        <f>I10^2/I8</f>
        <v>34.593596059113302</v>
      </c>
      <c r="J11" s="53" t="s">
        <v>142</v>
      </c>
    </row>
    <row r="12" spans="2:15" ht="19.5" thickBot="1">
      <c r="B12" t="s">
        <v>337</v>
      </c>
      <c r="G12" s="60" t="s">
        <v>338</v>
      </c>
      <c r="H12" s="61" t="s">
        <v>339</v>
      </c>
      <c r="I12" s="61">
        <v>0.872</v>
      </c>
      <c r="J12" s="62" t="s">
        <v>145</v>
      </c>
    </row>
    <row r="13" spans="2:15">
      <c r="B13" s="46" t="s">
        <v>309</v>
      </c>
      <c r="C13" s="47" t="s">
        <v>310</v>
      </c>
      <c r="D13" s="47" t="s">
        <v>311</v>
      </c>
      <c r="E13" s="48" t="s">
        <v>312</v>
      </c>
      <c r="G13" s="60" t="s">
        <v>340</v>
      </c>
      <c r="H13" s="61" t="s">
        <v>341</v>
      </c>
      <c r="I13" s="61"/>
      <c r="J13" s="62" t="s">
        <v>148</v>
      </c>
    </row>
    <row r="14" spans="2:15">
      <c r="B14" s="63" t="s">
        <v>342</v>
      </c>
      <c r="C14" s="49" t="s">
        <v>315</v>
      </c>
      <c r="D14" s="64">
        <v>10.5</v>
      </c>
      <c r="E14" s="65" t="s">
        <v>316</v>
      </c>
      <c r="G14" s="60" t="s">
        <v>343</v>
      </c>
      <c r="H14" s="61" t="s">
        <v>344</v>
      </c>
      <c r="I14" s="61"/>
      <c r="J14" s="62" t="s">
        <v>148</v>
      </c>
    </row>
    <row r="15" spans="2:15">
      <c r="B15" s="63" t="s">
        <v>345</v>
      </c>
      <c r="C15" s="49" t="s">
        <v>346</v>
      </c>
      <c r="D15" s="64">
        <v>55</v>
      </c>
      <c r="E15" s="65" t="s">
        <v>320</v>
      </c>
      <c r="G15" s="66" t="s">
        <v>347</v>
      </c>
      <c r="H15" s="7" t="s">
        <v>348</v>
      </c>
      <c r="I15" s="7">
        <f>'主翼(平面形)'!AI2*100</f>
        <v>38</v>
      </c>
      <c r="J15" s="53" t="s">
        <v>349</v>
      </c>
    </row>
    <row r="16" spans="2:15" ht="19.5" thickBot="1">
      <c r="B16" s="63" t="s">
        <v>350</v>
      </c>
      <c r="C16" s="49" t="s">
        <v>351</v>
      </c>
      <c r="D16" s="64">
        <v>67</v>
      </c>
      <c r="E16" s="65" t="s">
        <v>320</v>
      </c>
      <c r="G16" s="67" t="s">
        <v>352</v>
      </c>
      <c r="H16" s="55" t="s">
        <v>353</v>
      </c>
      <c r="I16" s="55">
        <f>I15</f>
        <v>38</v>
      </c>
      <c r="J16" s="57" t="s">
        <v>349</v>
      </c>
    </row>
    <row r="17" spans="1:26" ht="19.5" thickTop="1">
      <c r="B17" s="63" t="s">
        <v>354</v>
      </c>
      <c r="C17" s="49" t="s">
        <v>324</v>
      </c>
      <c r="D17" s="68">
        <f>D15+D16</f>
        <v>122</v>
      </c>
      <c r="E17" s="65" t="s">
        <v>320</v>
      </c>
      <c r="G17" s="69" t="s">
        <v>355</v>
      </c>
      <c r="H17" s="17" t="s">
        <v>356</v>
      </c>
      <c r="I17" s="70" t="s">
        <v>357</v>
      </c>
      <c r="J17" s="71" t="s">
        <v>142</v>
      </c>
    </row>
    <row r="18" spans="1:26">
      <c r="B18" s="63" t="s">
        <v>358</v>
      </c>
      <c r="C18" s="49" t="s">
        <v>273</v>
      </c>
      <c r="D18" s="64">
        <v>20.5</v>
      </c>
      <c r="E18" s="65" t="s">
        <v>331</v>
      </c>
      <c r="G18" s="66" t="s">
        <v>359</v>
      </c>
      <c r="H18" s="49" t="s">
        <v>360</v>
      </c>
      <c r="I18" s="49">
        <v>3.7</v>
      </c>
      <c r="J18" s="65" t="s">
        <v>142</v>
      </c>
    </row>
    <row r="19" spans="1:26">
      <c r="B19" s="63" t="s">
        <v>361</v>
      </c>
      <c r="C19" s="49" t="s">
        <v>265</v>
      </c>
      <c r="D19" s="68">
        <f>D17/D18</f>
        <v>5.9512195121951219</v>
      </c>
      <c r="E19" s="65" t="s">
        <v>333</v>
      </c>
      <c r="G19" s="66" t="s">
        <v>362</v>
      </c>
      <c r="H19" s="49" t="s">
        <v>363</v>
      </c>
      <c r="I19" s="49">
        <v>0.34399999999999997</v>
      </c>
      <c r="J19" s="65" t="s">
        <v>142</v>
      </c>
    </row>
    <row r="20" spans="1:26" ht="19.5" thickBot="1">
      <c r="B20" s="63" t="s">
        <v>334</v>
      </c>
      <c r="C20" s="49" t="s">
        <v>266</v>
      </c>
      <c r="D20" s="64">
        <v>26.5</v>
      </c>
      <c r="E20" s="65" t="s">
        <v>145</v>
      </c>
      <c r="G20" s="72" t="s">
        <v>364</v>
      </c>
      <c r="H20" s="73" t="s">
        <v>365</v>
      </c>
      <c r="I20" s="73">
        <v>5.0000000000000001E-3</v>
      </c>
      <c r="J20" s="74" t="s">
        <v>142</v>
      </c>
    </row>
    <row r="21" spans="1:26" ht="20.25" thickTop="1" thickBot="1">
      <c r="B21" s="75" t="s">
        <v>366</v>
      </c>
      <c r="C21" s="76" t="s">
        <v>367</v>
      </c>
      <c r="D21" s="77">
        <v>0.91746395632151179</v>
      </c>
      <c r="E21" s="78" t="s">
        <v>142</v>
      </c>
      <c r="G21" s="79" t="s">
        <v>368</v>
      </c>
      <c r="H21" s="80" t="s">
        <v>369</v>
      </c>
      <c r="I21" s="81" t="s">
        <v>528</v>
      </c>
      <c r="J21" s="82" t="s">
        <v>142</v>
      </c>
    </row>
    <row r="23" spans="1:26">
      <c r="B23" t="s">
        <v>370</v>
      </c>
    </row>
    <row r="24" spans="1:26">
      <c r="B24" s="2" t="s">
        <v>322</v>
      </c>
      <c r="C24" s="83" t="s">
        <v>371</v>
      </c>
      <c r="D24" s="2" t="s">
        <v>358</v>
      </c>
      <c r="E24" s="84" t="s">
        <v>372</v>
      </c>
      <c r="F24" s="2" t="s">
        <v>361</v>
      </c>
      <c r="G24" s="2" t="s">
        <v>373</v>
      </c>
      <c r="H24" s="83" t="s">
        <v>334</v>
      </c>
      <c r="I24" s="2" t="s">
        <v>374</v>
      </c>
      <c r="J24" s="2" t="s">
        <v>375</v>
      </c>
      <c r="K24" s="84" t="s">
        <v>372</v>
      </c>
      <c r="L24" s="2" t="s">
        <v>376</v>
      </c>
      <c r="M24" s="2" t="s">
        <v>377</v>
      </c>
    </row>
    <row r="25" spans="1:26" ht="19.5" thickBot="1">
      <c r="B25" s="85" t="s">
        <v>320</v>
      </c>
      <c r="C25" s="86" t="s">
        <v>316</v>
      </c>
      <c r="D25" s="85" t="s">
        <v>331</v>
      </c>
      <c r="F25" s="85" t="s">
        <v>333</v>
      </c>
      <c r="G25" s="85" t="s">
        <v>367</v>
      </c>
      <c r="H25" s="86" t="s">
        <v>145</v>
      </c>
      <c r="I25" s="85" t="s">
        <v>378</v>
      </c>
      <c r="J25" s="85" t="s">
        <v>379</v>
      </c>
      <c r="L25" s="85" t="s">
        <v>367</v>
      </c>
      <c r="M25" s="85" t="s">
        <v>367</v>
      </c>
    </row>
    <row r="26" spans="1:26" ht="19.5" thickTop="1">
      <c r="B26" s="12">
        <f>D17</f>
        <v>122</v>
      </c>
      <c r="C26" s="88">
        <f>D14</f>
        <v>10.5</v>
      </c>
      <c r="D26" s="12">
        <f>D18</f>
        <v>20.5</v>
      </c>
      <c r="F26" s="88">
        <f>B26/D26</f>
        <v>5.9512195121951219</v>
      </c>
      <c r="G26" s="12">
        <f>2*B26*パラメーター!$D$5/(パラメーター!D4*C26^2*D26)</f>
        <v>0.91746395632151179</v>
      </c>
      <c r="H26" s="88">
        <f>D20</f>
        <v>26.5</v>
      </c>
      <c r="I26" s="87">
        <v>0.01</v>
      </c>
      <c r="J26" s="87">
        <v>0.97</v>
      </c>
      <c r="L26" s="12">
        <f>SQRT(PI()*J26*H26^2*I26/D26)</f>
        <v>1.0217149470623874</v>
      </c>
      <c r="M26" s="12">
        <f>L26*SQRT(3)</f>
        <v>1.7696621991646007</v>
      </c>
    </row>
    <row r="27" spans="1:26">
      <c r="A27" s="89"/>
      <c r="B27" s="89"/>
      <c r="C27" s="89"/>
      <c r="D27" s="89"/>
      <c r="E27" s="89"/>
      <c r="F27" s="89"/>
      <c r="G27" s="89"/>
      <c r="H27" s="89"/>
      <c r="I27" s="89"/>
      <c r="J27" s="89"/>
      <c r="K27" s="89"/>
      <c r="L27" s="89"/>
      <c r="M27" s="89"/>
      <c r="N27" s="89"/>
      <c r="O27" s="89"/>
      <c r="P27" s="89"/>
      <c r="Q27" s="89"/>
      <c r="R27" s="89"/>
      <c r="S27" s="89"/>
      <c r="T27" s="89"/>
      <c r="U27" s="89"/>
      <c r="V27" s="89"/>
      <c r="W27" s="89"/>
      <c r="X27" s="89"/>
      <c r="Y27" s="89"/>
      <c r="Z27" s="89"/>
    </row>
  </sheetData>
  <phoneticPr fontId="2"/>
  <dataValidations count="2">
    <dataValidation type="list" allowBlank="1" showInputMessage="1" showErrorMessage="1" sqref="I21" xr:uid="{BB8F2283-A494-43EC-AC1F-ED747A4459A2}">
      <formula1>"重心移動,エレベーター,ハイブリッド"</formula1>
    </dataValidation>
    <dataValidation type="list" allowBlank="1" showInputMessage="1" showErrorMessage="1" sqref="I17" xr:uid="{3B81C431-E39F-4CD7-BE99-BE01464E3831}">
      <formula1>"T字配置,通常配置"</formula1>
    </dataValidation>
  </dataValidations>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E8FB8-DEAF-404C-A54E-9BB81C9F6AA1}">
  <sheetPr codeName="Sheet6"/>
  <dimension ref="A1:B23"/>
  <sheetViews>
    <sheetView workbookViewId="0"/>
  </sheetViews>
  <sheetFormatPr defaultRowHeight="18.75"/>
  <sheetData>
    <row r="1" spans="1:2">
      <c r="A1" t="s">
        <v>529</v>
      </c>
      <c r="B1" t="s">
        <v>530</v>
      </c>
    </row>
    <row r="2" spans="1:2">
      <c r="A2" t="s">
        <v>1088</v>
      </c>
      <c r="B2" t="s">
        <v>1089</v>
      </c>
    </row>
    <row r="3" spans="1:2">
      <c r="A3" t="s">
        <v>1090</v>
      </c>
      <c r="B3" t="s">
        <v>1091</v>
      </c>
    </row>
    <row r="4" spans="1:2">
      <c r="A4" t="s">
        <v>539</v>
      </c>
      <c r="B4" t="s">
        <v>540</v>
      </c>
    </row>
    <row r="5" spans="1:2">
      <c r="A5" t="s">
        <v>541</v>
      </c>
      <c r="B5" t="s">
        <v>542</v>
      </c>
    </row>
    <row r="6" spans="1:2">
      <c r="A6" t="s">
        <v>1183</v>
      </c>
      <c r="B6" t="s">
        <v>1184</v>
      </c>
    </row>
    <row r="7" spans="1:2">
      <c r="A7" t="s">
        <v>1028</v>
      </c>
      <c r="B7" t="s">
        <v>1029</v>
      </c>
    </row>
    <row r="8" spans="1:2">
      <c r="A8" t="s">
        <v>1176</v>
      </c>
      <c r="B8" t="s">
        <v>1177</v>
      </c>
    </row>
    <row r="9" spans="1:2">
      <c r="A9" t="s">
        <v>531</v>
      </c>
      <c r="B9" t="s">
        <v>532</v>
      </c>
    </row>
    <row r="10" spans="1:2">
      <c r="A10" t="s">
        <v>533</v>
      </c>
      <c r="B10" t="s">
        <v>534</v>
      </c>
    </row>
    <row r="11" spans="1:2">
      <c r="A11" t="s">
        <v>535</v>
      </c>
      <c r="B11" t="s">
        <v>536</v>
      </c>
    </row>
    <row r="12" spans="1:2">
      <c r="A12" t="s">
        <v>544</v>
      </c>
      <c r="B12" t="s">
        <v>545</v>
      </c>
    </row>
    <row r="13" spans="1:2">
      <c r="A13" t="s">
        <v>546</v>
      </c>
      <c r="B13" t="s">
        <v>547</v>
      </c>
    </row>
    <row r="14" spans="1:2">
      <c r="A14" t="s">
        <v>550</v>
      </c>
      <c r="B14" t="s">
        <v>551</v>
      </c>
    </row>
    <row r="15" spans="1:2">
      <c r="A15" t="s">
        <v>552</v>
      </c>
      <c r="B15" t="s">
        <v>553</v>
      </c>
    </row>
    <row r="16" spans="1:2">
      <c r="A16" t="s">
        <v>1030</v>
      </c>
      <c r="B16" t="s">
        <v>1031</v>
      </c>
    </row>
    <row r="17" spans="1:2">
      <c r="A17" t="s">
        <v>554</v>
      </c>
      <c r="B17" t="s">
        <v>555</v>
      </c>
    </row>
    <row r="18" spans="1:2">
      <c r="A18" t="s">
        <v>1032</v>
      </c>
      <c r="B18" t="s">
        <v>1033</v>
      </c>
    </row>
    <row r="19" spans="1:2">
      <c r="A19" t="s">
        <v>828</v>
      </c>
      <c r="B19" t="s">
        <v>829</v>
      </c>
    </row>
    <row r="20" spans="1:2">
      <c r="A20" t="s">
        <v>548</v>
      </c>
      <c r="B20" t="s">
        <v>549</v>
      </c>
    </row>
    <row r="21" spans="1:2">
      <c r="A21" t="s">
        <v>1179</v>
      </c>
      <c r="B21" t="s">
        <v>1180</v>
      </c>
    </row>
    <row r="22" spans="1:2">
      <c r="A22" t="s">
        <v>1185</v>
      </c>
      <c r="B22" t="s">
        <v>1186</v>
      </c>
    </row>
    <row r="23" spans="1:2">
      <c r="A23" t="s">
        <v>1034</v>
      </c>
      <c r="B23" t="s">
        <v>1035</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2E964A-6DFC-4969-AE44-DF40E7610688}">
  <sheetPr codeName="Sheet2">
    <tabColor theme="2" tint="-0.249977111117893"/>
  </sheetPr>
  <dimension ref="A1:BB80"/>
  <sheetViews>
    <sheetView workbookViewId="0">
      <selection activeCell="K11" sqref="K11:K15"/>
    </sheetView>
  </sheetViews>
  <sheetFormatPr defaultRowHeight="18.75"/>
  <sheetData>
    <row r="1" spans="1:54">
      <c r="A1" s="18"/>
      <c r="B1" s="19"/>
      <c r="C1" s="19"/>
      <c r="D1" s="19"/>
      <c r="E1" s="19"/>
      <c r="F1" s="19"/>
      <c r="G1" s="19"/>
      <c r="H1" s="19"/>
      <c r="I1" s="19"/>
      <c r="J1" s="20"/>
      <c r="K1" s="21"/>
      <c r="L1" s="19"/>
      <c r="M1" s="19"/>
      <c r="N1" s="19"/>
      <c r="O1" s="19"/>
      <c r="P1" s="19"/>
      <c r="Q1" s="19"/>
      <c r="R1" s="19"/>
      <c r="S1" s="19"/>
      <c r="T1" s="20"/>
      <c r="U1" s="21"/>
      <c r="V1" s="19"/>
      <c r="W1" s="19"/>
      <c r="X1" s="19"/>
      <c r="Y1" s="19"/>
      <c r="Z1" s="19"/>
      <c r="AA1" s="19"/>
      <c r="AB1" s="19"/>
      <c r="AC1" s="19"/>
      <c r="AD1" s="20"/>
      <c r="AE1" s="19"/>
      <c r="AF1" s="19"/>
      <c r="AG1" s="19"/>
      <c r="AH1" s="19"/>
      <c r="AI1" s="19"/>
      <c r="AJ1" s="19"/>
      <c r="AK1" s="19"/>
      <c r="AL1" s="19"/>
      <c r="AM1" s="19"/>
      <c r="AN1" s="19"/>
      <c r="AO1" s="19"/>
      <c r="AP1" s="19"/>
      <c r="AQ1" s="19"/>
      <c r="AR1" s="19"/>
      <c r="AS1" s="19"/>
      <c r="AT1" s="19"/>
      <c r="AU1" s="19"/>
      <c r="AV1" s="19"/>
      <c r="AW1" s="19"/>
      <c r="AX1" s="19"/>
      <c r="AY1" s="19"/>
      <c r="AZ1" s="19"/>
      <c r="BA1" s="19"/>
      <c r="BB1" s="19"/>
    </row>
    <row r="2" spans="1:54">
      <c r="A2" s="22"/>
      <c r="B2" s="23" t="s">
        <v>256</v>
      </c>
      <c r="C2" s="23"/>
      <c r="D2" s="23"/>
      <c r="E2" s="23"/>
      <c r="F2" s="23"/>
      <c r="G2" s="23"/>
      <c r="H2" s="23"/>
      <c r="I2" s="23"/>
      <c r="J2" s="24"/>
      <c r="K2" s="22"/>
      <c r="L2" s="23" t="s">
        <v>257</v>
      </c>
      <c r="M2" s="23"/>
      <c r="N2" s="23"/>
      <c r="O2" s="23"/>
      <c r="P2" s="23"/>
      <c r="Q2" s="23"/>
      <c r="R2" s="23"/>
      <c r="S2" s="23"/>
      <c r="T2" s="24"/>
      <c r="U2" s="22"/>
      <c r="V2" s="23" t="s">
        <v>258</v>
      </c>
      <c r="W2" s="23"/>
      <c r="X2" s="23"/>
      <c r="Y2" s="23"/>
      <c r="Z2" s="23"/>
      <c r="AA2" s="23"/>
      <c r="AB2" s="23"/>
      <c r="AC2" s="23"/>
      <c r="AD2" s="24"/>
      <c r="AE2" s="23"/>
      <c r="AF2" s="23" t="s">
        <v>259</v>
      </c>
      <c r="AG2" s="23"/>
      <c r="AH2" s="23"/>
      <c r="AI2" s="23"/>
      <c r="AJ2" s="23"/>
      <c r="AK2" s="23"/>
      <c r="AL2" s="23"/>
      <c r="AM2" s="23"/>
      <c r="AN2" s="23"/>
      <c r="AO2" s="23"/>
      <c r="AP2" s="23"/>
      <c r="AQ2" s="23"/>
      <c r="AR2" s="23"/>
      <c r="AS2" s="23"/>
      <c r="AT2" s="23"/>
      <c r="AU2" s="23"/>
      <c r="AV2" s="23"/>
      <c r="AW2" s="23"/>
      <c r="AX2" s="23"/>
      <c r="AY2" s="23"/>
      <c r="AZ2" s="23"/>
      <c r="BA2" s="23"/>
      <c r="BB2" s="23"/>
    </row>
    <row r="3" spans="1:54">
      <c r="A3" s="22"/>
      <c r="B3" s="23"/>
      <c r="C3" s="23"/>
      <c r="D3" s="23"/>
      <c r="E3" s="23"/>
      <c r="F3" s="23"/>
      <c r="G3" s="23"/>
      <c r="H3" s="23"/>
      <c r="I3" s="23"/>
      <c r="J3" s="24"/>
      <c r="K3" s="22"/>
      <c r="L3" s="23"/>
      <c r="M3" s="23"/>
      <c r="N3" s="23"/>
      <c r="O3" s="23"/>
      <c r="P3" s="23"/>
      <c r="Q3" s="23"/>
      <c r="R3" s="23"/>
      <c r="S3" s="23"/>
      <c r="T3" s="24"/>
      <c r="U3" s="22"/>
      <c r="V3" s="23"/>
      <c r="W3" s="23"/>
      <c r="X3" s="23"/>
      <c r="Y3" s="23"/>
      <c r="Z3" s="23"/>
      <c r="AA3" s="23"/>
      <c r="AB3" s="23"/>
      <c r="AC3" s="23"/>
      <c r="AD3" s="24"/>
      <c r="AE3" s="23"/>
      <c r="AF3" s="6" t="s">
        <v>260</v>
      </c>
      <c r="AG3" s="6" t="s">
        <v>261</v>
      </c>
      <c r="AH3" s="6" t="s">
        <v>262</v>
      </c>
      <c r="AI3" s="6" t="s">
        <v>263</v>
      </c>
      <c r="AJ3" s="23"/>
      <c r="AK3" s="23"/>
      <c r="AL3" s="23"/>
      <c r="AM3" s="23"/>
      <c r="AN3" s="23"/>
      <c r="AO3" s="23"/>
      <c r="AP3" s="23"/>
      <c r="AQ3" s="23"/>
      <c r="AR3" s="23"/>
      <c r="AS3" s="23"/>
      <c r="AT3" s="23"/>
      <c r="AU3" s="23"/>
      <c r="AV3" s="23"/>
      <c r="AW3" s="23"/>
      <c r="AX3" s="23"/>
      <c r="AY3" s="23"/>
      <c r="AZ3" s="23"/>
      <c r="BA3" s="23"/>
      <c r="BB3" s="23"/>
    </row>
    <row r="4" spans="1:54">
      <c r="A4" s="22"/>
      <c r="B4" s="23"/>
      <c r="C4" s="23"/>
      <c r="D4" s="23" t="s">
        <v>264</v>
      </c>
      <c r="E4" s="23"/>
      <c r="F4" s="23"/>
      <c r="G4" s="23"/>
      <c r="H4" s="23"/>
      <c r="I4" s="23"/>
      <c r="J4" s="24"/>
      <c r="K4" s="22"/>
      <c r="L4" s="23"/>
      <c r="M4" s="23"/>
      <c r="N4" s="23" t="s">
        <v>265</v>
      </c>
      <c r="O4" s="23"/>
      <c r="P4" s="23"/>
      <c r="Q4" s="23"/>
      <c r="R4" s="23"/>
      <c r="S4" s="23"/>
      <c r="T4" s="24"/>
      <c r="U4" s="22"/>
      <c r="V4" s="23"/>
      <c r="W4" s="23"/>
      <c r="X4" s="23" t="s">
        <v>266</v>
      </c>
      <c r="Y4" s="23"/>
      <c r="Z4" s="23"/>
      <c r="AA4" s="23"/>
      <c r="AB4" s="23"/>
      <c r="AC4" s="23"/>
      <c r="AD4" s="24"/>
      <c r="AE4" s="23"/>
      <c r="AF4" s="6" t="s">
        <v>267</v>
      </c>
      <c r="AG4" s="6" t="s">
        <v>268</v>
      </c>
      <c r="AH4" s="6">
        <v>1.1643136152857254</v>
      </c>
      <c r="AI4" s="6" t="s">
        <v>269</v>
      </c>
      <c r="AJ4" s="23"/>
      <c r="AK4" s="23"/>
      <c r="AL4" s="23"/>
      <c r="AM4" s="23"/>
      <c r="AN4" s="23"/>
      <c r="AO4" s="23"/>
      <c r="AP4" s="23"/>
      <c r="AQ4" s="23"/>
      <c r="AR4" s="23"/>
      <c r="AS4" s="23"/>
      <c r="AT4" s="23"/>
      <c r="AU4" s="23"/>
      <c r="AV4" s="23"/>
      <c r="AW4" s="23"/>
      <c r="AX4" s="23"/>
      <c r="AY4" s="23"/>
      <c r="AZ4" s="23"/>
      <c r="BA4" s="23"/>
      <c r="BB4" s="23"/>
    </row>
    <row r="5" spans="1:54" ht="19.5" thickBot="1">
      <c r="A5" s="22"/>
      <c r="B5" s="23"/>
      <c r="C5" s="25"/>
      <c r="D5" s="26">
        <v>118</v>
      </c>
      <c r="E5" s="27">
        <v>119</v>
      </c>
      <c r="F5" s="26">
        <v>120</v>
      </c>
      <c r="G5" s="27">
        <v>121</v>
      </c>
      <c r="H5" s="26">
        <v>122</v>
      </c>
      <c r="I5" s="27">
        <v>123</v>
      </c>
      <c r="J5" s="24"/>
      <c r="K5" s="22"/>
      <c r="L5" s="23"/>
      <c r="M5" s="25"/>
      <c r="N5" s="26">
        <v>5</v>
      </c>
      <c r="O5" s="11">
        <f>N5+0.2</f>
        <v>5.2</v>
      </c>
      <c r="P5" s="27">
        <f>O5+0.2</f>
        <v>5.4</v>
      </c>
      <c r="Q5" s="11">
        <f>P5+0.2</f>
        <v>5.6000000000000005</v>
      </c>
      <c r="R5" s="11">
        <f>Q5+0.2</f>
        <v>5.8000000000000007</v>
      </c>
      <c r="S5" s="11">
        <f>R5+0.2</f>
        <v>6.0000000000000009</v>
      </c>
      <c r="T5" s="24"/>
      <c r="U5" s="22"/>
      <c r="V5" s="23"/>
      <c r="W5" s="25"/>
      <c r="X5" s="26">
        <v>25</v>
      </c>
      <c r="Y5" s="11">
        <f>X5+0.5</f>
        <v>25.5</v>
      </c>
      <c r="Z5" s="11">
        <f>Y5+0.5</f>
        <v>26</v>
      </c>
      <c r="AA5" s="11">
        <f>Z5+0.5</f>
        <v>26.5</v>
      </c>
      <c r="AB5" s="28">
        <f>AA5+0.5</f>
        <v>27</v>
      </c>
      <c r="AC5" s="11">
        <f>AB5+0.5</f>
        <v>27.5</v>
      </c>
      <c r="AD5" s="24"/>
      <c r="AE5" s="23"/>
      <c r="AF5" s="6" t="s">
        <v>270</v>
      </c>
      <c r="AG5" s="6" t="s">
        <v>271</v>
      </c>
      <c r="AH5" s="6">
        <v>9.7970000000000006</v>
      </c>
      <c r="AI5" s="6" t="s">
        <v>272</v>
      </c>
      <c r="AJ5" s="23"/>
      <c r="AK5" s="23"/>
      <c r="AL5" s="23"/>
      <c r="AM5" s="23"/>
      <c r="AN5" s="23"/>
      <c r="AO5" s="23"/>
      <c r="AP5" s="23"/>
      <c r="AQ5" s="23"/>
      <c r="AR5" s="23"/>
      <c r="AS5" s="23"/>
      <c r="AT5" s="23"/>
      <c r="AU5" s="23"/>
      <c r="AV5" s="23"/>
      <c r="AW5" s="23"/>
      <c r="AX5" s="23"/>
      <c r="AY5" s="23"/>
      <c r="AZ5" s="23"/>
      <c r="BA5" s="23"/>
      <c r="BB5" s="23"/>
    </row>
    <row r="6" spans="1:54" ht="19.5" thickTop="1">
      <c r="A6" s="23"/>
      <c r="B6" s="23" t="s">
        <v>273</v>
      </c>
      <c r="C6" s="29">
        <v>19</v>
      </c>
      <c r="D6" s="30">
        <f t="shared" ref="D6:I21" si="0">D$5/$C6</f>
        <v>6.2105263157894735</v>
      </c>
      <c r="E6" s="31">
        <f t="shared" si="0"/>
        <v>6.2631578947368425</v>
      </c>
      <c r="F6" s="12">
        <f t="shared" si="0"/>
        <v>6.3157894736842106</v>
      </c>
      <c r="G6" s="12">
        <f t="shared" si="0"/>
        <v>6.3684210526315788</v>
      </c>
      <c r="H6" s="12">
        <f t="shared" si="0"/>
        <v>6.4210526315789478</v>
      </c>
      <c r="I6" s="12">
        <f t="shared" si="0"/>
        <v>6.4736842105263159</v>
      </c>
      <c r="J6" s="24"/>
      <c r="K6" s="22"/>
      <c r="L6" s="23" t="s">
        <v>274</v>
      </c>
      <c r="M6" s="29">
        <v>8.5</v>
      </c>
      <c r="N6" s="30">
        <f>N$5*$AH$5*(1/((1/2)*$AH$4*$M6*$M6))</f>
        <v>1.1646227797798172</v>
      </c>
      <c r="O6" s="30">
        <f t="shared" ref="O6:S21" si="1">O$5*$AH$5*(1/((1/2)*$AH$4*$M6*$M6))</f>
        <v>1.2112076909710101</v>
      </c>
      <c r="P6" s="32">
        <f t="shared" si="1"/>
        <v>1.2577926021622028</v>
      </c>
      <c r="Q6" s="30">
        <f t="shared" si="1"/>
        <v>1.3043775133533955</v>
      </c>
      <c r="R6" s="30">
        <f t="shared" si="1"/>
        <v>1.3509624245445881</v>
      </c>
      <c r="S6" s="30">
        <f t="shared" si="1"/>
        <v>1.397547335735781</v>
      </c>
      <c r="T6" s="24"/>
      <c r="U6" s="22"/>
      <c r="V6" s="23" t="s">
        <v>273</v>
      </c>
      <c r="W6" s="29">
        <v>17.5</v>
      </c>
      <c r="X6" s="30">
        <f>X$5*X$5/$W6</f>
        <v>35.714285714285715</v>
      </c>
      <c r="Y6" s="30">
        <f t="shared" ref="Y6:AC21" si="2">Y$5*Y$5/$W6</f>
        <v>37.157142857142858</v>
      </c>
      <c r="Z6" s="30">
        <f t="shared" si="2"/>
        <v>38.628571428571426</v>
      </c>
      <c r="AA6" s="30">
        <f t="shared" si="2"/>
        <v>40.128571428571426</v>
      </c>
      <c r="AB6" s="33">
        <f t="shared" si="2"/>
        <v>41.657142857142858</v>
      </c>
      <c r="AC6" s="30">
        <f t="shared" si="2"/>
        <v>43.214285714285715</v>
      </c>
      <c r="AD6" s="24"/>
      <c r="AE6" s="23"/>
      <c r="AF6" s="6" t="s">
        <v>275</v>
      </c>
      <c r="AG6" s="6" t="s">
        <v>276</v>
      </c>
      <c r="AH6" s="6">
        <v>1.8608692424914869E-5</v>
      </c>
      <c r="AI6" s="6" t="s">
        <v>277</v>
      </c>
      <c r="AJ6" s="23"/>
      <c r="AK6" s="23"/>
      <c r="AL6" s="23"/>
      <c r="AM6" s="23"/>
      <c r="AN6" s="23"/>
      <c r="AO6" s="23"/>
      <c r="AP6" s="23"/>
      <c r="AQ6" s="23"/>
      <c r="AR6" s="23"/>
      <c r="AS6" s="23"/>
      <c r="AT6" s="23"/>
      <c r="AU6" s="23"/>
      <c r="AV6" s="23"/>
      <c r="AW6" s="23"/>
      <c r="AX6" s="23"/>
      <c r="AY6" s="23"/>
      <c r="AZ6" s="23"/>
      <c r="BA6" s="23"/>
      <c r="BB6" s="23"/>
    </row>
    <row r="7" spans="1:54">
      <c r="A7" s="22"/>
      <c r="B7" s="23"/>
      <c r="C7" s="29">
        <v>19.100000000000001</v>
      </c>
      <c r="D7" s="34">
        <f t="shared" si="0"/>
        <v>6.1780104712041881</v>
      </c>
      <c r="E7" s="35">
        <f t="shared" si="0"/>
        <v>6.2303664921465964</v>
      </c>
      <c r="F7" s="6">
        <f t="shared" si="0"/>
        <v>6.2827225130890048</v>
      </c>
      <c r="G7" s="6">
        <f t="shared" si="0"/>
        <v>6.3350785340314131</v>
      </c>
      <c r="H7" s="6">
        <f t="shared" si="0"/>
        <v>6.3874345549738214</v>
      </c>
      <c r="I7" s="6">
        <f t="shared" si="0"/>
        <v>6.4397905759162297</v>
      </c>
      <c r="J7" s="24"/>
      <c r="K7" s="22"/>
      <c r="L7" s="23"/>
      <c r="M7" s="36">
        <f>M6+0.1</f>
        <v>8.6</v>
      </c>
      <c r="N7" s="30">
        <f t="shared" ref="N7:S36" si="3">N$5*$AH$5*(1/((1/2)*$AH$4*$M7*$M7))</f>
        <v>1.1376959956610573</v>
      </c>
      <c r="O7" s="30">
        <f t="shared" si="1"/>
        <v>1.1832038354874996</v>
      </c>
      <c r="P7" s="32">
        <f t="shared" si="1"/>
        <v>1.228711675313942</v>
      </c>
      <c r="Q7" s="30">
        <f t="shared" si="1"/>
        <v>1.2742195151403843</v>
      </c>
      <c r="R7" s="30">
        <f t="shared" si="1"/>
        <v>1.3197273549668267</v>
      </c>
      <c r="S7" s="30">
        <f t="shared" si="1"/>
        <v>1.365235194793269</v>
      </c>
      <c r="T7" s="24"/>
      <c r="U7" s="22"/>
      <c r="V7" s="23"/>
      <c r="W7" s="36">
        <v>17.600000000000001</v>
      </c>
      <c r="X7" s="30">
        <f t="shared" ref="X7:AC36" si="4">X$5*X$5/$W7</f>
        <v>35.511363636363633</v>
      </c>
      <c r="Y7" s="30">
        <f t="shared" si="2"/>
        <v>36.946022727272727</v>
      </c>
      <c r="Z7" s="30">
        <f t="shared" si="2"/>
        <v>38.409090909090907</v>
      </c>
      <c r="AA7" s="30">
        <f t="shared" si="2"/>
        <v>39.90056818181818</v>
      </c>
      <c r="AB7" s="33">
        <f t="shared" si="2"/>
        <v>41.42045454545454</v>
      </c>
      <c r="AC7" s="30">
        <f t="shared" si="2"/>
        <v>42.96875</v>
      </c>
      <c r="AD7" s="24"/>
      <c r="AE7" s="23"/>
      <c r="AF7" s="6" t="s">
        <v>278</v>
      </c>
      <c r="AG7" s="6" t="s">
        <v>279</v>
      </c>
      <c r="AH7" s="6">
        <v>1.5982543002684247E-5</v>
      </c>
      <c r="AI7" s="6" t="s">
        <v>280</v>
      </c>
      <c r="AJ7" s="23"/>
      <c r="AK7" s="23"/>
      <c r="AL7" s="23"/>
      <c r="AM7" s="23"/>
      <c r="AN7" s="23"/>
      <c r="AO7" s="23"/>
      <c r="AP7" s="23"/>
      <c r="AQ7" s="23"/>
      <c r="AR7" s="23"/>
      <c r="AS7" s="23"/>
      <c r="AT7" s="23"/>
      <c r="AU7" s="23"/>
      <c r="AV7" s="23"/>
      <c r="AW7" s="23"/>
      <c r="AX7" s="23"/>
      <c r="AY7" s="23"/>
      <c r="AZ7" s="23"/>
      <c r="BA7" s="23"/>
      <c r="BB7" s="23"/>
    </row>
    <row r="8" spans="1:54">
      <c r="A8" s="22"/>
      <c r="B8" s="23"/>
      <c r="C8" s="29">
        <v>19.2</v>
      </c>
      <c r="D8" s="34">
        <f t="shared" si="0"/>
        <v>6.1458333333333339</v>
      </c>
      <c r="E8" s="35">
        <f t="shared" si="0"/>
        <v>6.197916666666667</v>
      </c>
      <c r="F8" s="6">
        <f t="shared" si="0"/>
        <v>6.25</v>
      </c>
      <c r="G8" s="6">
        <f t="shared" si="0"/>
        <v>6.3020833333333339</v>
      </c>
      <c r="H8" s="6">
        <f t="shared" si="0"/>
        <v>6.354166666666667</v>
      </c>
      <c r="I8" s="6">
        <f t="shared" si="0"/>
        <v>6.40625</v>
      </c>
      <c r="J8" s="24"/>
      <c r="K8" s="22"/>
      <c r="L8" s="23"/>
      <c r="M8" s="36">
        <f t="shared" ref="M8:M36" si="5">M7+0.1</f>
        <v>8.6999999999999993</v>
      </c>
      <c r="N8" s="30">
        <f t="shared" si="3"/>
        <v>1.1116923746742213</v>
      </c>
      <c r="O8" s="30">
        <f t="shared" si="1"/>
        <v>1.1561600696611902</v>
      </c>
      <c r="P8" s="32">
        <f t="shared" si="1"/>
        <v>1.2006277646481591</v>
      </c>
      <c r="Q8" s="30">
        <f t="shared" si="1"/>
        <v>1.245095459635128</v>
      </c>
      <c r="R8" s="30">
        <f t="shared" si="1"/>
        <v>1.2895631546220969</v>
      </c>
      <c r="S8" s="30">
        <f t="shared" si="1"/>
        <v>1.3340308496090658</v>
      </c>
      <c r="T8" s="24"/>
      <c r="U8" s="22"/>
      <c r="V8" s="23"/>
      <c r="W8" s="29">
        <v>17.7</v>
      </c>
      <c r="X8" s="30">
        <f t="shared" si="4"/>
        <v>35.310734463276837</v>
      </c>
      <c r="Y8" s="30">
        <f t="shared" si="2"/>
        <v>36.737288135593225</v>
      </c>
      <c r="Z8" s="30">
        <f t="shared" si="2"/>
        <v>38.192090395480228</v>
      </c>
      <c r="AA8" s="30">
        <f t="shared" si="2"/>
        <v>39.675141242937855</v>
      </c>
      <c r="AB8" s="33">
        <f t="shared" si="2"/>
        <v>41.186440677966104</v>
      </c>
      <c r="AC8" s="30">
        <f t="shared" si="2"/>
        <v>42.725988700564976</v>
      </c>
      <c r="AD8" s="24"/>
      <c r="AE8" s="23"/>
      <c r="AF8" s="6" t="s">
        <v>281</v>
      </c>
      <c r="AG8" s="6" t="s">
        <v>238</v>
      </c>
      <c r="AH8" s="6">
        <v>30</v>
      </c>
      <c r="AI8" s="6" t="s">
        <v>282</v>
      </c>
      <c r="AJ8" s="23"/>
      <c r="AK8" s="23"/>
      <c r="AL8" s="23"/>
      <c r="AM8" s="23"/>
      <c r="AN8" s="23"/>
      <c r="AO8" s="23"/>
      <c r="AP8" s="23"/>
      <c r="AQ8" s="23"/>
      <c r="AR8" s="23"/>
      <c r="AS8" s="23"/>
      <c r="AT8" s="23"/>
      <c r="AU8" s="23"/>
      <c r="AV8" s="23"/>
      <c r="AW8" s="23"/>
      <c r="AX8" s="23"/>
      <c r="AY8" s="23"/>
      <c r="AZ8" s="23"/>
      <c r="BA8" s="23"/>
      <c r="BB8" s="23"/>
    </row>
    <row r="9" spans="1:54">
      <c r="A9" s="22"/>
      <c r="B9" s="23"/>
      <c r="C9" s="29">
        <v>19.3</v>
      </c>
      <c r="D9" s="34">
        <f t="shared" si="0"/>
        <v>6.113989637305699</v>
      </c>
      <c r="E9" s="35">
        <f t="shared" si="0"/>
        <v>6.1658031088082899</v>
      </c>
      <c r="F9" s="6">
        <f t="shared" si="0"/>
        <v>6.2176165803108807</v>
      </c>
      <c r="G9" s="6">
        <f t="shared" si="0"/>
        <v>6.2694300518134716</v>
      </c>
      <c r="H9" s="6">
        <f t="shared" si="0"/>
        <v>6.3212435233160615</v>
      </c>
      <c r="I9" s="6">
        <f t="shared" si="0"/>
        <v>6.3730569948186524</v>
      </c>
      <c r="J9" s="24"/>
      <c r="K9" s="22"/>
      <c r="L9" s="23"/>
      <c r="M9" s="36">
        <f t="shared" si="5"/>
        <v>8.7999999999999989</v>
      </c>
      <c r="N9" s="30">
        <f t="shared" si="3"/>
        <v>1.0865701942031485</v>
      </c>
      <c r="O9" s="30">
        <f t="shared" si="1"/>
        <v>1.1300330019712743</v>
      </c>
      <c r="P9" s="32">
        <f t="shared" si="1"/>
        <v>1.1734958097394004</v>
      </c>
      <c r="Q9" s="30">
        <f t="shared" si="1"/>
        <v>1.2169586175075264</v>
      </c>
      <c r="R9" s="30">
        <f t="shared" si="1"/>
        <v>1.2604214252756525</v>
      </c>
      <c r="S9" s="30">
        <f t="shared" si="1"/>
        <v>1.3038842330437783</v>
      </c>
      <c r="T9" s="24"/>
      <c r="U9" s="22"/>
      <c r="V9" s="23"/>
      <c r="W9" s="36">
        <v>17.8</v>
      </c>
      <c r="X9" s="30">
        <f t="shared" si="4"/>
        <v>35.112359550561798</v>
      </c>
      <c r="Y9" s="30">
        <f t="shared" si="2"/>
        <v>36.530898876404493</v>
      </c>
      <c r="Z9" s="30">
        <f t="shared" si="2"/>
        <v>37.977528089887642</v>
      </c>
      <c r="AA9" s="30">
        <f t="shared" si="2"/>
        <v>39.452247191011232</v>
      </c>
      <c r="AB9" s="33">
        <f t="shared" si="2"/>
        <v>40.955056179775276</v>
      </c>
      <c r="AC9" s="30">
        <f t="shared" si="2"/>
        <v>42.485955056179776</v>
      </c>
      <c r="AD9" s="24"/>
      <c r="AE9" s="23"/>
      <c r="AF9" s="6"/>
      <c r="AG9" s="6"/>
      <c r="AH9" s="6">
        <v>303.14999999999998</v>
      </c>
      <c r="AI9" s="6" t="s">
        <v>283</v>
      </c>
      <c r="AJ9" s="23"/>
      <c r="AK9" s="23"/>
      <c r="AL9" s="23"/>
      <c r="AM9" s="23"/>
      <c r="AN9" s="23"/>
      <c r="AO9" s="23"/>
      <c r="AP9" s="23"/>
      <c r="AQ9" s="23"/>
      <c r="AR9" s="23"/>
      <c r="AS9" s="23"/>
      <c r="AT9" s="23"/>
      <c r="AU9" s="23"/>
      <c r="AV9" s="23"/>
      <c r="AW9" s="23"/>
      <c r="AX9" s="23"/>
      <c r="AY9" s="23"/>
      <c r="AZ9" s="23"/>
      <c r="BA9" s="23"/>
      <c r="BB9" s="23"/>
    </row>
    <row r="10" spans="1:54">
      <c r="A10" s="22"/>
      <c r="B10" s="23"/>
      <c r="C10" s="29">
        <v>19.399999999999999</v>
      </c>
      <c r="D10" s="34">
        <f t="shared" si="0"/>
        <v>6.0824742268041243</v>
      </c>
      <c r="E10" s="35">
        <f t="shared" si="0"/>
        <v>6.1340206185567014</v>
      </c>
      <c r="F10" s="6">
        <f t="shared" si="0"/>
        <v>6.1855670103092786</v>
      </c>
      <c r="G10" s="6">
        <f t="shared" si="0"/>
        <v>6.2371134020618557</v>
      </c>
      <c r="H10" s="6">
        <f t="shared" si="0"/>
        <v>6.2886597938144337</v>
      </c>
      <c r="I10" s="6">
        <f t="shared" si="0"/>
        <v>6.3402061855670109</v>
      </c>
      <c r="J10" s="24"/>
      <c r="K10" s="22"/>
      <c r="L10" s="23"/>
      <c r="M10" s="36">
        <f t="shared" si="5"/>
        <v>8.8999999999999986</v>
      </c>
      <c r="N10" s="30">
        <f t="shared" si="3"/>
        <v>1.0622900623543972</v>
      </c>
      <c r="O10" s="30">
        <f t="shared" si="1"/>
        <v>1.1047816648485731</v>
      </c>
      <c r="P10" s="32">
        <f t="shared" si="1"/>
        <v>1.147273267342749</v>
      </c>
      <c r="Q10" s="30">
        <f t="shared" si="1"/>
        <v>1.189764869836925</v>
      </c>
      <c r="R10" s="30">
        <f t="shared" si="1"/>
        <v>1.2322564723311009</v>
      </c>
      <c r="S10" s="30">
        <f t="shared" si="1"/>
        <v>1.2747480748252769</v>
      </c>
      <c r="T10" s="24"/>
      <c r="U10" s="22"/>
      <c r="V10" s="23"/>
      <c r="W10" s="29">
        <v>17.899999999999999</v>
      </c>
      <c r="X10" s="30">
        <f t="shared" si="4"/>
        <v>34.916201117318437</v>
      </c>
      <c r="Y10" s="30">
        <f t="shared" si="2"/>
        <v>36.326815642458101</v>
      </c>
      <c r="Z10" s="30">
        <f t="shared" si="2"/>
        <v>37.765363128491622</v>
      </c>
      <c r="AA10" s="30">
        <f t="shared" si="2"/>
        <v>39.231843575418999</v>
      </c>
      <c r="AB10" s="33">
        <f t="shared" si="2"/>
        <v>40.726256983240226</v>
      </c>
      <c r="AC10" s="30">
        <f t="shared" si="2"/>
        <v>42.24860335195531</v>
      </c>
      <c r="AD10" s="24"/>
      <c r="AE10" s="23"/>
      <c r="AF10" s="6" t="s">
        <v>284</v>
      </c>
      <c r="AG10" s="6" t="s">
        <v>285</v>
      </c>
      <c r="AH10" s="6">
        <v>1013</v>
      </c>
      <c r="AI10" s="6" t="s">
        <v>286</v>
      </c>
      <c r="AJ10" s="23"/>
      <c r="AK10" s="23"/>
      <c r="AL10" s="23"/>
      <c r="AM10" s="23"/>
      <c r="AN10" s="23"/>
      <c r="AO10" s="23"/>
      <c r="AP10" s="23"/>
      <c r="AQ10" s="23"/>
      <c r="AR10" s="23"/>
      <c r="AS10" s="23"/>
      <c r="AT10" s="23"/>
      <c r="AU10" s="23"/>
      <c r="AV10" s="23"/>
      <c r="AW10" s="23"/>
      <c r="AX10" s="23"/>
      <c r="AY10" s="23"/>
      <c r="AZ10" s="23"/>
      <c r="BA10" s="23"/>
      <c r="BB10" s="23"/>
    </row>
    <row r="11" spans="1:54">
      <c r="A11" s="22"/>
      <c r="B11" s="23"/>
      <c r="C11" s="29">
        <v>19.5</v>
      </c>
      <c r="D11" s="37">
        <f t="shared" si="0"/>
        <v>6.0512820512820511</v>
      </c>
      <c r="E11" s="35">
        <f t="shared" si="0"/>
        <v>6.1025641025641022</v>
      </c>
      <c r="F11" s="6">
        <f t="shared" si="0"/>
        <v>6.1538461538461542</v>
      </c>
      <c r="G11" s="6">
        <f t="shared" si="0"/>
        <v>6.2051282051282053</v>
      </c>
      <c r="H11" s="6">
        <f t="shared" si="0"/>
        <v>6.2564102564102564</v>
      </c>
      <c r="I11" s="6">
        <f t="shared" si="0"/>
        <v>6.3076923076923075</v>
      </c>
      <c r="J11" s="24"/>
      <c r="K11" s="22"/>
      <c r="L11" s="23"/>
      <c r="M11" s="38">
        <f t="shared" si="5"/>
        <v>8.9999999999999982</v>
      </c>
      <c r="N11" s="32">
        <f t="shared" si="3"/>
        <v>1.038814763445578</v>
      </c>
      <c r="O11" s="32">
        <f t="shared" si="1"/>
        <v>1.0803673539834013</v>
      </c>
      <c r="P11" s="32">
        <f t="shared" si="1"/>
        <v>1.1219199445212245</v>
      </c>
      <c r="Q11" s="30">
        <f t="shared" si="1"/>
        <v>1.1634725350590476</v>
      </c>
      <c r="R11" s="30">
        <f t="shared" si="1"/>
        <v>1.2050251255968707</v>
      </c>
      <c r="S11" s="30">
        <f t="shared" si="1"/>
        <v>1.246577716134694</v>
      </c>
      <c r="T11" s="24"/>
      <c r="U11" s="22"/>
      <c r="V11" s="23"/>
      <c r="W11" s="36">
        <v>18</v>
      </c>
      <c r="X11" s="33">
        <f t="shared" si="4"/>
        <v>34.722222222222221</v>
      </c>
      <c r="Y11" s="33">
        <f t="shared" si="2"/>
        <v>36.125</v>
      </c>
      <c r="Z11" s="33">
        <f t="shared" si="2"/>
        <v>37.555555555555557</v>
      </c>
      <c r="AA11" s="33">
        <f t="shared" si="2"/>
        <v>39.013888888888886</v>
      </c>
      <c r="AB11" s="33">
        <f t="shared" si="2"/>
        <v>40.5</v>
      </c>
      <c r="AC11" s="33">
        <f t="shared" si="2"/>
        <v>42.013888888888886</v>
      </c>
      <c r="AD11" s="24"/>
      <c r="AE11" s="23"/>
      <c r="AF11" s="6"/>
      <c r="AG11" s="6"/>
      <c r="AH11" s="6">
        <v>101300</v>
      </c>
      <c r="AI11" s="6" t="s">
        <v>287</v>
      </c>
      <c r="AJ11" s="23"/>
      <c r="AK11" s="23"/>
      <c r="AL11" s="23"/>
      <c r="AM11" s="23"/>
      <c r="AN11" s="23"/>
      <c r="AO11" s="23"/>
      <c r="AP11" s="23"/>
      <c r="AQ11" s="23"/>
      <c r="AR11" s="23"/>
      <c r="AS11" s="23"/>
      <c r="AT11" s="23"/>
      <c r="AU11" s="23"/>
      <c r="AV11" s="23"/>
      <c r="AW11" s="23"/>
      <c r="AX11" s="23"/>
      <c r="AY11" s="23"/>
      <c r="AZ11" s="23"/>
      <c r="BA11" s="23"/>
      <c r="BB11" s="23"/>
    </row>
    <row r="12" spans="1:54">
      <c r="A12" s="22"/>
      <c r="B12" s="23"/>
      <c r="C12" s="29">
        <v>19.600000000000001</v>
      </c>
      <c r="D12" s="34">
        <f t="shared" si="0"/>
        <v>6.0204081632653059</v>
      </c>
      <c r="E12" s="35">
        <f t="shared" si="0"/>
        <v>6.0714285714285712</v>
      </c>
      <c r="F12" s="6">
        <f t="shared" si="0"/>
        <v>6.1224489795918364</v>
      </c>
      <c r="G12" s="6">
        <f t="shared" si="0"/>
        <v>6.1734693877551017</v>
      </c>
      <c r="H12" s="6">
        <f t="shared" si="0"/>
        <v>6.2244897959183669</v>
      </c>
      <c r="I12" s="6">
        <f t="shared" si="0"/>
        <v>6.2755102040816322</v>
      </c>
      <c r="J12" s="24"/>
      <c r="K12" s="22"/>
      <c r="L12" s="23"/>
      <c r="M12" s="36">
        <f t="shared" si="5"/>
        <v>9.0999999999999979</v>
      </c>
      <c r="N12" s="30">
        <f t="shared" si="3"/>
        <v>1.0161091153132693</v>
      </c>
      <c r="O12" s="30">
        <f t="shared" si="1"/>
        <v>1.0567534799258003</v>
      </c>
      <c r="P12" s="32">
        <f t="shared" si="1"/>
        <v>1.097397844538331</v>
      </c>
      <c r="Q12" s="30">
        <f t="shared" si="1"/>
        <v>1.1380422091508617</v>
      </c>
      <c r="R12" s="30">
        <f t="shared" si="1"/>
        <v>1.1786865737633927</v>
      </c>
      <c r="S12" s="30">
        <f t="shared" si="1"/>
        <v>1.2193309383759234</v>
      </c>
      <c r="T12" s="24"/>
      <c r="U12" s="22"/>
      <c r="V12" s="23"/>
      <c r="W12" s="29">
        <v>18.100000000000001</v>
      </c>
      <c r="X12" s="30">
        <f t="shared" si="4"/>
        <v>34.530386740331487</v>
      </c>
      <c r="Y12" s="30">
        <f t="shared" si="2"/>
        <v>35.925414364640879</v>
      </c>
      <c r="Z12" s="30">
        <f t="shared" si="2"/>
        <v>37.348066298342538</v>
      </c>
      <c r="AA12" s="30">
        <f t="shared" si="2"/>
        <v>38.798342541436462</v>
      </c>
      <c r="AB12" s="30">
        <f t="shared" si="2"/>
        <v>40.276243093922652</v>
      </c>
      <c r="AC12" s="30">
        <f t="shared" si="2"/>
        <v>41.781767955801101</v>
      </c>
      <c r="AD12" s="24"/>
      <c r="AE12" s="23"/>
      <c r="AF12" s="6" t="s">
        <v>288</v>
      </c>
      <c r="AG12" s="6" t="s">
        <v>289</v>
      </c>
      <c r="AH12" s="6">
        <v>287</v>
      </c>
      <c r="AI12" s="6" t="s">
        <v>290</v>
      </c>
      <c r="AJ12" s="23"/>
      <c r="AK12" s="23"/>
      <c r="AL12" s="23"/>
      <c r="AM12" s="23"/>
      <c r="AN12" s="23"/>
      <c r="AO12" s="23"/>
      <c r="AP12" s="23"/>
      <c r="AQ12" s="23"/>
      <c r="AR12" s="23"/>
      <c r="AS12" s="23"/>
      <c r="AT12" s="23"/>
      <c r="AU12" s="23"/>
      <c r="AV12" s="23"/>
      <c r="AW12" s="23"/>
      <c r="AX12" s="23"/>
      <c r="AY12" s="23"/>
      <c r="AZ12" s="23"/>
      <c r="BA12" s="23"/>
      <c r="BB12" s="23"/>
    </row>
    <row r="13" spans="1:54">
      <c r="A13" s="22"/>
      <c r="B13" s="23"/>
      <c r="C13" s="29">
        <v>19.7</v>
      </c>
      <c r="D13" s="34">
        <f t="shared" si="0"/>
        <v>5.9898477157360412</v>
      </c>
      <c r="E13" s="35">
        <f t="shared" si="0"/>
        <v>6.0406091370558377</v>
      </c>
      <c r="F13" s="6">
        <f t="shared" si="0"/>
        <v>6.091370558375635</v>
      </c>
      <c r="G13" s="6">
        <f t="shared" si="0"/>
        <v>6.1421319796954315</v>
      </c>
      <c r="H13" s="6">
        <f t="shared" si="0"/>
        <v>6.1928934010152288</v>
      </c>
      <c r="I13" s="6">
        <f t="shared" si="0"/>
        <v>6.2436548223350252</v>
      </c>
      <c r="J13" s="24"/>
      <c r="K13" s="22"/>
      <c r="L13" s="23"/>
      <c r="M13" s="36">
        <f t="shared" si="5"/>
        <v>9.1999999999999975</v>
      </c>
      <c r="N13" s="30">
        <f t="shared" si="3"/>
        <v>0.99413983741838174</v>
      </c>
      <c r="O13" s="30">
        <f t="shared" si="1"/>
        <v>1.033905430915117</v>
      </c>
      <c r="P13" s="32">
        <f t="shared" si="1"/>
        <v>1.0736710244118524</v>
      </c>
      <c r="Q13" s="30">
        <f t="shared" si="1"/>
        <v>1.1134366179085877</v>
      </c>
      <c r="R13" s="30">
        <f t="shared" si="1"/>
        <v>1.1532022114053231</v>
      </c>
      <c r="S13" s="30">
        <f t="shared" si="1"/>
        <v>1.1929678049020584</v>
      </c>
      <c r="T13" s="24"/>
      <c r="U13" s="22"/>
      <c r="V13" s="23"/>
      <c r="W13" s="36">
        <v>18.2</v>
      </c>
      <c r="X13" s="30">
        <f t="shared" si="4"/>
        <v>34.340659340659343</v>
      </c>
      <c r="Y13" s="30">
        <f t="shared" si="2"/>
        <v>35.728021978021978</v>
      </c>
      <c r="Z13" s="30">
        <f t="shared" si="2"/>
        <v>37.142857142857146</v>
      </c>
      <c r="AA13" s="30">
        <f t="shared" si="2"/>
        <v>38.585164835164839</v>
      </c>
      <c r="AB13" s="30">
        <f t="shared" si="2"/>
        <v>40.054945054945058</v>
      </c>
      <c r="AC13" s="30">
        <f t="shared" si="2"/>
        <v>41.552197802197803</v>
      </c>
      <c r="AD13" s="24"/>
      <c r="AE13" s="23"/>
      <c r="AF13" s="6" t="s">
        <v>291</v>
      </c>
      <c r="AG13" s="6" t="s">
        <v>292</v>
      </c>
      <c r="AH13" s="6">
        <v>1.4</v>
      </c>
      <c r="AI13" s="6" t="s">
        <v>77</v>
      </c>
      <c r="AJ13" s="23"/>
      <c r="AK13" s="23"/>
      <c r="AL13" s="23"/>
      <c r="AM13" s="23"/>
      <c r="AN13" s="23"/>
      <c r="AO13" s="23"/>
      <c r="AP13" s="23"/>
      <c r="AQ13" s="23"/>
      <c r="AR13" s="23"/>
      <c r="AS13" s="23"/>
      <c r="AT13" s="23"/>
      <c r="AU13" s="23"/>
      <c r="AV13" s="23"/>
      <c r="AW13" s="23"/>
      <c r="AX13" s="23"/>
      <c r="AY13" s="23"/>
      <c r="AZ13" s="23"/>
      <c r="BA13" s="23"/>
      <c r="BB13" s="23"/>
    </row>
    <row r="14" spans="1:54">
      <c r="A14" s="22"/>
      <c r="B14" s="23"/>
      <c r="C14" s="29">
        <v>19.8</v>
      </c>
      <c r="D14" s="34">
        <f t="shared" si="0"/>
        <v>5.9595959595959593</v>
      </c>
      <c r="E14" s="35">
        <f t="shared" si="0"/>
        <v>6.0101010101010095</v>
      </c>
      <c r="F14" s="6">
        <f t="shared" si="0"/>
        <v>6.0606060606060606</v>
      </c>
      <c r="G14" s="6">
        <f t="shared" si="0"/>
        <v>6.1111111111111107</v>
      </c>
      <c r="H14" s="6">
        <f t="shared" si="0"/>
        <v>6.1616161616161618</v>
      </c>
      <c r="I14" s="6">
        <f t="shared" si="0"/>
        <v>6.2121212121212119</v>
      </c>
      <c r="J14" s="24"/>
      <c r="K14" s="22"/>
      <c r="L14" s="23"/>
      <c r="M14" s="36">
        <f t="shared" si="5"/>
        <v>9.2999999999999972</v>
      </c>
      <c r="N14" s="30">
        <f t="shared" si="3"/>
        <v>0.9728754288252035</v>
      </c>
      <c r="O14" s="30">
        <f t="shared" si="1"/>
        <v>1.0117904459782117</v>
      </c>
      <c r="P14" s="32">
        <f t="shared" si="1"/>
        <v>1.0507054631312198</v>
      </c>
      <c r="Q14" s="30">
        <f t="shared" si="1"/>
        <v>1.0896204802842282</v>
      </c>
      <c r="R14" s="30">
        <f t="shared" si="1"/>
        <v>1.1285354974372364</v>
      </c>
      <c r="S14" s="30">
        <f t="shared" si="1"/>
        <v>1.1674505145902445</v>
      </c>
      <c r="T14" s="24"/>
      <c r="U14" s="22"/>
      <c r="V14" s="23"/>
      <c r="W14" s="29">
        <v>18.3</v>
      </c>
      <c r="X14" s="30">
        <f t="shared" si="4"/>
        <v>34.15300546448087</v>
      </c>
      <c r="Y14" s="30">
        <f t="shared" si="2"/>
        <v>35.532786885245898</v>
      </c>
      <c r="Z14" s="30">
        <f t="shared" si="2"/>
        <v>36.939890710382514</v>
      </c>
      <c r="AA14" s="30">
        <f t="shared" si="2"/>
        <v>38.374316939890711</v>
      </c>
      <c r="AB14" s="30">
        <f t="shared" si="2"/>
        <v>39.83606557377049</v>
      </c>
      <c r="AC14" s="30">
        <f t="shared" si="2"/>
        <v>41.325136612021858</v>
      </c>
      <c r="AD14" s="24"/>
      <c r="AE14" s="23"/>
      <c r="AF14" s="6" t="s">
        <v>293</v>
      </c>
      <c r="AG14" s="6" t="s">
        <v>294</v>
      </c>
      <c r="AH14" s="6">
        <v>349.00669048028288</v>
      </c>
      <c r="AI14" s="6" t="s">
        <v>95</v>
      </c>
      <c r="AJ14" s="23"/>
      <c r="AK14" s="23"/>
      <c r="AL14" s="23"/>
      <c r="AM14" s="23"/>
      <c r="AN14" s="23"/>
      <c r="AO14" s="23"/>
      <c r="AP14" s="23"/>
      <c r="AQ14" s="23"/>
      <c r="AR14" s="23"/>
      <c r="AS14" s="23"/>
      <c r="AT14" s="23"/>
      <c r="AU14" s="23"/>
      <c r="AV14" s="23"/>
      <c r="AW14" s="23"/>
      <c r="AX14" s="23"/>
      <c r="AY14" s="23"/>
      <c r="AZ14" s="23"/>
      <c r="BA14" s="23"/>
      <c r="BB14" s="23"/>
    </row>
    <row r="15" spans="1:54">
      <c r="A15" s="22"/>
      <c r="B15" s="23"/>
      <c r="C15" s="29">
        <v>19.899999999999999</v>
      </c>
      <c r="D15" s="34">
        <f t="shared" si="0"/>
        <v>5.9296482412060305</v>
      </c>
      <c r="E15" s="35">
        <f t="shared" si="0"/>
        <v>5.9798994974874375</v>
      </c>
      <c r="F15" s="6">
        <f t="shared" si="0"/>
        <v>6.0301507537688446</v>
      </c>
      <c r="G15" s="6">
        <f t="shared" si="0"/>
        <v>6.0804020100502516</v>
      </c>
      <c r="H15" s="6">
        <f t="shared" si="0"/>
        <v>6.1306532663316586</v>
      </c>
      <c r="I15" s="6">
        <f t="shared" si="0"/>
        <v>6.1809045226130657</v>
      </c>
      <c r="J15" s="24"/>
      <c r="K15" s="22"/>
      <c r="L15" s="23"/>
      <c r="M15" s="36">
        <f t="shared" si="5"/>
        <v>9.3999999999999968</v>
      </c>
      <c r="N15" s="30">
        <f t="shared" si="3"/>
        <v>0.95228605521833232</v>
      </c>
      <c r="O15" s="30">
        <f t="shared" si="1"/>
        <v>0.99037749742706571</v>
      </c>
      <c r="P15" s="32">
        <f t="shared" si="1"/>
        <v>1.0284689396357991</v>
      </c>
      <c r="Q15" s="30">
        <f t="shared" si="1"/>
        <v>1.0665603818445324</v>
      </c>
      <c r="R15" s="30">
        <f t="shared" si="1"/>
        <v>1.1046518240532657</v>
      </c>
      <c r="S15" s="30">
        <f t="shared" si="1"/>
        <v>1.142743266261999</v>
      </c>
      <c r="T15" s="24"/>
      <c r="U15" s="22"/>
      <c r="V15" s="23"/>
      <c r="W15" s="36">
        <v>18.399999999999999</v>
      </c>
      <c r="X15" s="30">
        <f t="shared" si="4"/>
        <v>33.967391304347828</v>
      </c>
      <c r="Y15" s="30">
        <f t="shared" si="2"/>
        <v>35.339673913043484</v>
      </c>
      <c r="Z15" s="30">
        <f t="shared" si="2"/>
        <v>36.739130434782609</v>
      </c>
      <c r="AA15" s="30">
        <f t="shared" si="2"/>
        <v>38.165760869565219</v>
      </c>
      <c r="AB15" s="30">
        <f t="shared" si="2"/>
        <v>39.619565217391305</v>
      </c>
      <c r="AC15" s="30">
        <f t="shared" si="2"/>
        <v>41.100543478260875</v>
      </c>
      <c r="AD15" s="24"/>
      <c r="AE15" s="23"/>
      <c r="AF15" s="6" t="s">
        <v>295</v>
      </c>
      <c r="AG15" s="6" t="s">
        <v>296</v>
      </c>
      <c r="AH15" s="6">
        <v>0.4</v>
      </c>
      <c r="AI15" s="6" t="s">
        <v>77</v>
      </c>
      <c r="AJ15" s="23"/>
      <c r="AK15" s="23"/>
      <c r="AL15" s="23"/>
      <c r="AM15" s="23"/>
      <c r="AN15" s="23"/>
      <c r="AO15" s="23"/>
      <c r="AP15" s="23"/>
      <c r="AQ15" s="23"/>
      <c r="AR15" s="23"/>
      <c r="AS15" s="23"/>
      <c r="AT15" s="23"/>
      <c r="AU15" s="23"/>
      <c r="AV15" s="23"/>
      <c r="AW15" s="23"/>
      <c r="AX15" s="23"/>
      <c r="AY15" s="23"/>
      <c r="AZ15" s="23"/>
      <c r="BA15" s="23"/>
      <c r="BB15" s="23"/>
    </row>
    <row r="16" spans="1:54">
      <c r="A16" s="22"/>
      <c r="B16" s="23"/>
      <c r="C16" s="29">
        <v>20</v>
      </c>
      <c r="D16" s="34">
        <f t="shared" si="0"/>
        <v>5.9</v>
      </c>
      <c r="E16" s="35">
        <f t="shared" si="0"/>
        <v>5.95</v>
      </c>
      <c r="F16" s="6">
        <f t="shared" si="0"/>
        <v>6</v>
      </c>
      <c r="G16" s="6">
        <f t="shared" si="0"/>
        <v>6.05</v>
      </c>
      <c r="H16" s="6">
        <f t="shared" si="0"/>
        <v>6.1</v>
      </c>
      <c r="I16" s="6">
        <f t="shared" si="0"/>
        <v>6.15</v>
      </c>
      <c r="J16" s="24"/>
      <c r="K16" s="22"/>
      <c r="L16" s="23"/>
      <c r="M16" s="36">
        <f t="shared" si="5"/>
        <v>9.4999999999999964</v>
      </c>
      <c r="N16" s="30">
        <f t="shared" si="3"/>
        <v>0.93234344420046389</v>
      </c>
      <c r="O16" s="30">
        <f t="shared" si="1"/>
        <v>0.96963718196848248</v>
      </c>
      <c r="P16" s="32">
        <f t="shared" si="1"/>
        <v>1.0069309197365011</v>
      </c>
      <c r="Q16" s="30">
        <f t="shared" si="1"/>
        <v>1.0442246575045198</v>
      </c>
      <c r="R16" s="30">
        <f t="shared" si="1"/>
        <v>1.0815183952725382</v>
      </c>
      <c r="S16" s="30">
        <f t="shared" si="1"/>
        <v>1.1188121330405569</v>
      </c>
      <c r="T16" s="24"/>
      <c r="U16" s="22"/>
      <c r="V16" s="23"/>
      <c r="W16" s="29">
        <v>18.5</v>
      </c>
      <c r="X16" s="30">
        <f t="shared" si="4"/>
        <v>33.783783783783782</v>
      </c>
      <c r="Y16" s="30">
        <f t="shared" si="2"/>
        <v>35.148648648648646</v>
      </c>
      <c r="Z16" s="30">
        <f t="shared" si="2"/>
        <v>36.54054054054054</v>
      </c>
      <c r="AA16" s="30">
        <f t="shared" si="2"/>
        <v>37.95945945945946</v>
      </c>
      <c r="AB16" s="30">
        <f t="shared" si="2"/>
        <v>39.405405405405403</v>
      </c>
      <c r="AC16" s="30">
        <f t="shared" si="2"/>
        <v>40.878378378378379</v>
      </c>
      <c r="AD16" s="24"/>
      <c r="AE16" s="23"/>
      <c r="AF16" s="6" t="s">
        <v>297</v>
      </c>
      <c r="AG16" s="6" t="s">
        <v>298</v>
      </c>
      <c r="AH16" s="6">
        <v>0.01</v>
      </c>
      <c r="AI16" s="6" t="s">
        <v>77</v>
      </c>
      <c r="AJ16" s="23"/>
      <c r="AK16" s="23"/>
      <c r="AL16" s="23"/>
      <c r="AM16" s="23"/>
      <c r="AN16" s="23"/>
      <c r="AO16" s="23"/>
      <c r="AP16" s="23"/>
      <c r="AQ16" s="23"/>
      <c r="AR16" s="23"/>
      <c r="AS16" s="23"/>
      <c r="AT16" s="23"/>
      <c r="AU16" s="23"/>
      <c r="AV16" s="23"/>
      <c r="AW16" s="23"/>
      <c r="AX16" s="23"/>
      <c r="AY16" s="23"/>
      <c r="AZ16" s="23"/>
      <c r="BA16" s="23"/>
      <c r="BB16" s="23"/>
    </row>
    <row r="17" spans="1:54">
      <c r="A17" s="22"/>
      <c r="B17" s="23"/>
      <c r="C17" s="29">
        <v>20.100000000000001</v>
      </c>
      <c r="D17" s="34">
        <f t="shared" si="0"/>
        <v>5.8706467661691537</v>
      </c>
      <c r="E17" s="35">
        <f t="shared" si="0"/>
        <v>5.9203980099502482</v>
      </c>
      <c r="F17" s="6">
        <f t="shared" si="0"/>
        <v>5.9701492537313428</v>
      </c>
      <c r="G17" s="6">
        <f t="shared" si="0"/>
        <v>6.0199004975124373</v>
      </c>
      <c r="H17" s="6">
        <f t="shared" si="0"/>
        <v>6.0696517412935318</v>
      </c>
      <c r="I17" s="6">
        <f t="shared" si="0"/>
        <v>6.1194029850746263</v>
      </c>
      <c r="J17" s="24"/>
      <c r="K17" s="22"/>
      <c r="L17" s="23"/>
      <c r="M17" s="36">
        <f t="shared" si="5"/>
        <v>9.5999999999999961</v>
      </c>
      <c r="N17" s="30">
        <f t="shared" si="3"/>
        <v>0.91302078818459043</v>
      </c>
      <c r="O17" s="30">
        <f t="shared" si="1"/>
        <v>0.94954161971197404</v>
      </c>
      <c r="P17" s="32">
        <f t="shared" si="1"/>
        <v>0.98606245123935776</v>
      </c>
      <c r="Q17" s="30">
        <f t="shared" si="1"/>
        <v>1.0225832827667414</v>
      </c>
      <c r="R17" s="30">
        <f t="shared" si="1"/>
        <v>1.0591041142941251</v>
      </c>
      <c r="S17" s="30">
        <f t="shared" si="1"/>
        <v>1.0956249458215086</v>
      </c>
      <c r="T17" s="24"/>
      <c r="U17" s="22"/>
      <c r="V17" s="23"/>
      <c r="W17" s="36">
        <v>18.600000000000001</v>
      </c>
      <c r="X17" s="30">
        <f t="shared" si="4"/>
        <v>33.602150537634408</v>
      </c>
      <c r="Y17" s="30">
        <f t="shared" si="2"/>
        <v>34.959677419354833</v>
      </c>
      <c r="Z17" s="30">
        <f t="shared" si="2"/>
        <v>36.344086021505376</v>
      </c>
      <c r="AA17" s="30">
        <f t="shared" si="2"/>
        <v>37.755376344086017</v>
      </c>
      <c r="AB17" s="30">
        <f t="shared" si="2"/>
        <v>39.193548387096769</v>
      </c>
      <c r="AC17" s="30">
        <f t="shared" si="2"/>
        <v>40.658602150537632</v>
      </c>
      <c r="AD17" s="24"/>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row>
    <row r="18" spans="1:54">
      <c r="A18" s="22"/>
      <c r="B18" s="23"/>
      <c r="C18" s="29">
        <v>20.2</v>
      </c>
      <c r="D18" s="34">
        <f t="shared" si="0"/>
        <v>5.8415841584158414</v>
      </c>
      <c r="E18" s="35">
        <f t="shared" si="0"/>
        <v>5.891089108910891</v>
      </c>
      <c r="F18" s="6">
        <f t="shared" si="0"/>
        <v>5.9405940594059405</v>
      </c>
      <c r="G18" s="6">
        <f t="shared" si="0"/>
        <v>5.9900990099009901</v>
      </c>
      <c r="H18" s="6">
        <f t="shared" si="0"/>
        <v>6.0396039603960396</v>
      </c>
      <c r="I18" s="6">
        <f t="shared" si="0"/>
        <v>6.0891089108910892</v>
      </c>
      <c r="J18" s="24"/>
      <c r="K18" s="22"/>
      <c r="L18" s="23"/>
      <c r="M18" s="36">
        <f t="shared" si="5"/>
        <v>9.6999999999999957</v>
      </c>
      <c r="N18" s="30">
        <f t="shared" si="3"/>
        <v>0.89429265425753923</v>
      </c>
      <c r="O18" s="30">
        <f t="shared" si="1"/>
        <v>0.9300643604278408</v>
      </c>
      <c r="P18" s="32">
        <f t="shared" si="1"/>
        <v>0.96583606659814247</v>
      </c>
      <c r="Q18" s="30">
        <f t="shared" si="1"/>
        <v>1.001607772768444</v>
      </c>
      <c r="R18" s="30">
        <f t="shared" si="1"/>
        <v>1.0373794789387456</v>
      </c>
      <c r="S18" s="30">
        <f t="shared" si="1"/>
        <v>1.0731511851090474</v>
      </c>
      <c r="T18" s="24"/>
      <c r="U18" s="22"/>
      <c r="V18" s="23"/>
      <c r="W18" s="29">
        <v>18.7</v>
      </c>
      <c r="X18" s="30">
        <f t="shared" si="4"/>
        <v>33.422459893048128</v>
      </c>
      <c r="Y18" s="30">
        <f t="shared" si="2"/>
        <v>34.772727272727273</v>
      </c>
      <c r="Z18" s="30">
        <f t="shared" si="2"/>
        <v>36.149732620320854</v>
      </c>
      <c r="AA18" s="30">
        <f t="shared" si="2"/>
        <v>37.553475935828878</v>
      </c>
      <c r="AB18" s="30">
        <f t="shared" si="2"/>
        <v>38.983957219251337</v>
      </c>
      <c r="AC18" s="30">
        <f t="shared" si="2"/>
        <v>40.441176470588239</v>
      </c>
      <c r="AD18" s="24"/>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row>
    <row r="19" spans="1:54">
      <c r="A19" s="22"/>
      <c r="B19" s="23"/>
      <c r="C19" s="29">
        <v>20.3</v>
      </c>
      <c r="D19" s="34">
        <f t="shared" si="0"/>
        <v>5.8128078817733986</v>
      </c>
      <c r="E19" s="35">
        <f t="shared" si="0"/>
        <v>5.8620689655172411</v>
      </c>
      <c r="F19" s="6">
        <f t="shared" si="0"/>
        <v>5.9113300492610836</v>
      </c>
      <c r="G19" s="6">
        <f t="shared" si="0"/>
        <v>5.9605911330049262</v>
      </c>
      <c r="H19" s="6">
        <f t="shared" si="0"/>
        <v>6.0098522167487687</v>
      </c>
      <c r="I19" s="6">
        <f t="shared" si="0"/>
        <v>6.0591133004926103</v>
      </c>
      <c r="J19" s="24"/>
      <c r="K19" s="22"/>
      <c r="L19" s="23"/>
      <c r="M19" s="36">
        <f t="shared" si="5"/>
        <v>9.7999999999999954</v>
      </c>
      <c r="N19" s="30">
        <f t="shared" si="3"/>
        <v>0.8761349004486868</v>
      </c>
      <c r="O19" s="30">
        <f t="shared" si="1"/>
        <v>0.91118029646663423</v>
      </c>
      <c r="P19" s="32">
        <f t="shared" si="1"/>
        <v>0.94622569248458177</v>
      </c>
      <c r="Q19" s="30">
        <f t="shared" si="1"/>
        <v>0.98127108850252931</v>
      </c>
      <c r="R19" s="30">
        <f t="shared" si="1"/>
        <v>1.0163164845204768</v>
      </c>
      <c r="S19" s="30">
        <f t="shared" si="1"/>
        <v>1.0513618805384244</v>
      </c>
      <c r="T19" s="24"/>
      <c r="U19" s="22"/>
      <c r="V19" s="23"/>
      <c r="W19" s="36">
        <v>18.8</v>
      </c>
      <c r="X19" s="30">
        <f t="shared" si="4"/>
        <v>33.244680851063826</v>
      </c>
      <c r="Y19" s="30">
        <f t="shared" si="2"/>
        <v>34.587765957446805</v>
      </c>
      <c r="Z19" s="30">
        <f t="shared" si="2"/>
        <v>35.957446808510639</v>
      </c>
      <c r="AA19" s="30">
        <f t="shared" si="2"/>
        <v>37.353723404255319</v>
      </c>
      <c r="AB19" s="30">
        <f t="shared" si="2"/>
        <v>38.776595744680847</v>
      </c>
      <c r="AC19" s="30">
        <f t="shared" si="2"/>
        <v>40.226063829787229</v>
      </c>
      <c r="AD19" s="24"/>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row>
    <row r="20" spans="1:54">
      <c r="A20" s="22"/>
      <c r="B20" s="23"/>
      <c r="C20" s="29">
        <v>20.399999999999999</v>
      </c>
      <c r="D20" s="34">
        <f t="shared" si="0"/>
        <v>5.7843137254901968</v>
      </c>
      <c r="E20" s="35">
        <f t="shared" si="0"/>
        <v>5.8333333333333339</v>
      </c>
      <c r="F20" s="6">
        <f t="shared" si="0"/>
        <v>5.882352941176471</v>
      </c>
      <c r="G20" s="6">
        <f t="shared" si="0"/>
        <v>5.9313725490196081</v>
      </c>
      <c r="H20" s="6">
        <f t="shared" si="0"/>
        <v>5.9803921568627452</v>
      </c>
      <c r="I20" s="6">
        <f t="shared" si="0"/>
        <v>6.0294117647058831</v>
      </c>
      <c r="J20" s="24"/>
      <c r="K20" s="22"/>
      <c r="L20" s="23"/>
      <c r="M20" s="36">
        <f t="shared" si="5"/>
        <v>9.899999999999995</v>
      </c>
      <c r="N20" s="30">
        <f t="shared" si="3"/>
        <v>0.858524597888908</v>
      </c>
      <c r="O20" s="30">
        <f t="shared" si="1"/>
        <v>0.89286558180446429</v>
      </c>
      <c r="P20" s="32">
        <f t="shared" si="1"/>
        <v>0.92720656572002069</v>
      </c>
      <c r="Q20" s="30">
        <f t="shared" si="1"/>
        <v>0.96154754963557709</v>
      </c>
      <c r="R20" s="30">
        <f t="shared" si="1"/>
        <v>0.99588853355113338</v>
      </c>
      <c r="S20" s="30">
        <f t="shared" si="1"/>
        <v>1.0302295174666898</v>
      </c>
      <c r="T20" s="24"/>
      <c r="U20" s="22"/>
      <c r="V20" s="23"/>
      <c r="W20" s="29">
        <v>18.899999999999999</v>
      </c>
      <c r="X20" s="30">
        <f t="shared" si="4"/>
        <v>33.06878306878307</v>
      </c>
      <c r="Y20" s="30">
        <f t="shared" si="2"/>
        <v>34.404761904761905</v>
      </c>
      <c r="Z20" s="30">
        <f t="shared" si="2"/>
        <v>35.767195767195773</v>
      </c>
      <c r="AA20" s="30">
        <f t="shared" si="2"/>
        <v>37.156084656084658</v>
      </c>
      <c r="AB20" s="30">
        <f t="shared" si="2"/>
        <v>38.571428571428577</v>
      </c>
      <c r="AC20" s="30">
        <f t="shared" si="2"/>
        <v>40.01322751322752</v>
      </c>
      <c r="AD20" s="24"/>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row>
    <row r="21" spans="1:54">
      <c r="A21" s="22"/>
      <c r="B21" s="23"/>
      <c r="C21" s="29">
        <v>20.5</v>
      </c>
      <c r="D21" s="34">
        <f t="shared" si="0"/>
        <v>5.7560975609756095</v>
      </c>
      <c r="E21" s="35">
        <f t="shared" si="0"/>
        <v>5.8048780487804876</v>
      </c>
      <c r="F21" s="6">
        <f t="shared" si="0"/>
        <v>5.8536585365853657</v>
      </c>
      <c r="G21" s="6">
        <f t="shared" si="0"/>
        <v>5.9024390243902438</v>
      </c>
      <c r="H21" s="6">
        <f t="shared" si="0"/>
        <v>5.9512195121951219</v>
      </c>
      <c r="I21" s="6">
        <f t="shared" si="0"/>
        <v>6</v>
      </c>
      <c r="J21" s="24"/>
      <c r="K21" s="22"/>
      <c r="L21" s="23"/>
      <c r="M21" s="36">
        <f t="shared" si="5"/>
        <v>9.9999999999999947</v>
      </c>
      <c r="N21" s="30">
        <f t="shared" si="3"/>
        <v>0.84143995839091867</v>
      </c>
      <c r="O21" s="30">
        <f t="shared" si="1"/>
        <v>0.87509755672655554</v>
      </c>
      <c r="P21" s="32">
        <f t="shared" si="1"/>
        <v>0.90875515506219229</v>
      </c>
      <c r="Q21" s="30">
        <f t="shared" si="1"/>
        <v>0.94241275339782904</v>
      </c>
      <c r="R21" s="30">
        <f t="shared" si="1"/>
        <v>0.9760703517334659</v>
      </c>
      <c r="S21" s="30">
        <f t="shared" si="1"/>
        <v>1.0097279500691025</v>
      </c>
      <c r="T21" s="24"/>
      <c r="U21" s="22"/>
      <c r="V21" s="23"/>
      <c r="W21" s="36">
        <v>19</v>
      </c>
      <c r="X21" s="30">
        <f t="shared" si="4"/>
        <v>32.89473684210526</v>
      </c>
      <c r="Y21" s="30">
        <f t="shared" si="2"/>
        <v>34.223684210526315</v>
      </c>
      <c r="Z21" s="30">
        <f t="shared" si="2"/>
        <v>35.578947368421055</v>
      </c>
      <c r="AA21" s="30">
        <f t="shared" si="2"/>
        <v>36.960526315789473</v>
      </c>
      <c r="AB21" s="30">
        <f t="shared" si="2"/>
        <v>38.368421052631582</v>
      </c>
      <c r="AC21" s="30">
        <f t="shared" si="2"/>
        <v>39.80263157894737</v>
      </c>
      <c r="AD21" s="24"/>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row>
    <row r="22" spans="1:54">
      <c r="A22" s="22"/>
      <c r="B22" s="23"/>
      <c r="C22" s="29">
        <v>20.6</v>
      </c>
      <c r="D22" s="34">
        <f t="shared" ref="D22:I36" si="6">D$5/$C22</f>
        <v>5.7281553398058245</v>
      </c>
      <c r="E22" s="35">
        <f t="shared" si="6"/>
        <v>5.7766990291262132</v>
      </c>
      <c r="F22" s="6">
        <f t="shared" si="6"/>
        <v>5.8252427184466011</v>
      </c>
      <c r="G22" s="6">
        <f t="shared" si="6"/>
        <v>5.8737864077669899</v>
      </c>
      <c r="H22" s="6">
        <f t="shared" si="6"/>
        <v>5.9223300970873787</v>
      </c>
      <c r="I22" s="6">
        <f t="shared" si="6"/>
        <v>5.9708737864077666</v>
      </c>
      <c r="J22" s="24"/>
      <c r="K22" s="22"/>
      <c r="L22" s="23"/>
      <c r="M22" s="36">
        <f t="shared" si="5"/>
        <v>10.099999999999994</v>
      </c>
      <c r="N22" s="30">
        <f t="shared" si="3"/>
        <v>0.82486026702374171</v>
      </c>
      <c r="O22" s="30">
        <f t="shared" si="3"/>
        <v>0.85785467770469148</v>
      </c>
      <c r="P22" s="32">
        <f t="shared" si="3"/>
        <v>0.89084908838564114</v>
      </c>
      <c r="Q22" s="30">
        <f t="shared" si="3"/>
        <v>0.9238434990665908</v>
      </c>
      <c r="R22" s="30">
        <f t="shared" si="3"/>
        <v>0.95683790974754057</v>
      </c>
      <c r="S22" s="30">
        <f t="shared" si="3"/>
        <v>0.98983232042849023</v>
      </c>
      <c r="T22" s="24"/>
      <c r="U22" s="22"/>
      <c r="V22" s="23"/>
      <c r="W22" s="29">
        <v>19.100000000000001</v>
      </c>
      <c r="X22" s="30">
        <f t="shared" si="4"/>
        <v>32.722513089005233</v>
      </c>
      <c r="Y22" s="30">
        <f t="shared" si="4"/>
        <v>34.044502617801044</v>
      </c>
      <c r="Z22" s="30">
        <f t="shared" si="4"/>
        <v>35.392670157068061</v>
      </c>
      <c r="AA22" s="30">
        <f t="shared" si="4"/>
        <v>36.767015706806284</v>
      </c>
      <c r="AB22" s="30">
        <f t="shared" si="4"/>
        <v>38.167539267015705</v>
      </c>
      <c r="AC22" s="30">
        <f t="shared" si="4"/>
        <v>39.594240837696333</v>
      </c>
      <c r="AD22" s="24"/>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row>
    <row r="23" spans="1:54">
      <c r="A23" s="22"/>
      <c r="B23" s="23"/>
      <c r="C23" s="29">
        <v>20.7</v>
      </c>
      <c r="D23" s="34">
        <f t="shared" si="6"/>
        <v>5.7004830917874401</v>
      </c>
      <c r="E23" s="35">
        <f t="shared" si="6"/>
        <v>5.7487922705314007</v>
      </c>
      <c r="F23" s="6">
        <f t="shared" si="6"/>
        <v>5.7971014492753623</v>
      </c>
      <c r="G23" s="6">
        <f t="shared" si="6"/>
        <v>5.8454106280193239</v>
      </c>
      <c r="H23" s="6">
        <f t="shared" si="6"/>
        <v>5.8937198067632854</v>
      </c>
      <c r="I23" s="6">
        <f t="shared" si="6"/>
        <v>5.942028985507247</v>
      </c>
      <c r="J23" s="24"/>
      <c r="K23" s="22"/>
      <c r="L23" s="23"/>
      <c r="M23" s="36">
        <f t="shared" si="5"/>
        <v>10.199999999999994</v>
      </c>
      <c r="N23" s="30">
        <f t="shared" si="3"/>
        <v>0.80876581929154068</v>
      </c>
      <c r="O23" s="30">
        <f t="shared" si="3"/>
        <v>0.8411164520632024</v>
      </c>
      <c r="P23" s="32">
        <f t="shared" si="3"/>
        <v>0.87346708483486402</v>
      </c>
      <c r="Q23" s="30">
        <f t="shared" si="3"/>
        <v>0.90581771760652574</v>
      </c>
      <c r="R23" s="30">
        <f t="shared" si="3"/>
        <v>0.93816835037818735</v>
      </c>
      <c r="S23" s="30">
        <f t="shared" si="3"/>
        <v>0.97051898314984908</v>
      </c>
      <c r="T23" s="24"/>
      <c r="U23" s="22"/>
      <c r="V23" s="23"/>
      <c r="W23" s="36">
        <v>19.2</v>
      </c>
      <c r="X23" s="30">
        <f t="shared" si="4"/>
        <v>32.552083333333336</v>
      </c>
      <c r="Y23" s="30">
        <f t="shared" si="4"/>
        <v>33.8671875</v>
      </c>
      <c r="Z23" s="30">
        <f t="shared" si="4"/>
        <v>35.208333333333336</v>
      </c>
      <c r="AA23" s="30">
        <f t="shared" si="4"/>
        <v>36.575520833333336</v>
      </c>
      <c r="AB23" s="30">
        <f t="shared" si="4"/>
        <v>37.96875</v>
      </c>
      <c r="AC23" s="30">
        <f t="shared" si="4"/>
        <v>39.388020833333336</v>
      </c>
      <c r="AD23" s="24"/>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row>
    <row r="24" spans="1:54">
      <c r="A24" s="22"/>
      <c r="B24" s="23"/>
      <c r="C24" s="29">
        <v>20.8</v>
      </c>
      <c r="D24" s="34">
        <f t="shared" si="6"/>
        <v>5.6730769230769225</v>
      </c>
      <c r="E24" s="35">
        <f t="shared" si="6"/>
        <v>5.7211538461538458</v>
      </c>
      <c r="F24" s="6">
        <f t="shared" si="6"/>
        <v>5.7692307692307692</v>
      </c>
      <c r="G24" s="6">
        <f t="shared" si="6"/>
        <v>5.8173076923076925</v>
      </c>
      <c r="H24" s="6">
        <f t="shared" si="6"/>
        <v>5.865384615384615</v>
      </c>
      <c r="I24" s="6">
        <f t="shared" si="6"/>
        <v>5.9134615384615383</v>
      </c>
      <c r="J24" s="24"/>
      <c r="K24" s="22"/>
      <c r="L24" s="23"/>
      <c r="M24" s="36">
        <f t="shared" si="5"/>
        <v>10.299999999999994</v>
      </c>
      <c r="N24" s="30">
        <f t="shared" si="3"/>
        <v>0.79313786256095675</v>
      </c>
      <c r="O24" s="30">
        <f t="shared" si="3"/>
        <v>0.82486337706339508</v>
      </c>
      <c r="P24" s="32">
        <f t="shared" si="3"/>
        <v>0.8565888915658334</v>
      </c>
      <c r="Q24" s="30">
        <f t="shared" si="3"/>
        <v>0.88831440606827172</v>
      </c>
      <c r="R24" s="30">
        <f t="shared" si="3"/>
        <v>0.92003992057071005</v>
      </c>
      <c r="S24" s="30">
        <f t="shared" si="3"/>
        <v>0.95176543507314837</v>
      </c>
      <c r="T24" s="24"/>
      <c r="U24" s="22"/>
      <c r="V24" s="23"/>
      <c r="W24" s="29">
        <v>19.3</v>
      </c>
      <c r="X24" s="30">
        <f t="shared" si="4"/>
        <v>32.383419689119172</v>
      </c>
      <c r="Y24" s="30">
        <f t="shared" si="4"/>
        <v>33.691709844559583</v>
      </c>
      <c r="Z24" s="30">
        <f t="shared" si="4"/>
        <v>35.025906735751292</v>
      </c>
      <c r="AA24" s="30">
        <f t="shared" si="4"/>
        <v>36.3860103626943</v>
      </c>
      <c r="AB24" s="30">
        <f t="shared" si="4"/>
        <v>37.7720207253886</v>
      </c>
      <c r="AC24" s="30">
        <f t="shared" si="4"/>
        <v>39.183937823834192</v>
      </c>
      <c r="AD24" s="24"/>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row>
    <row r="25" spans="1:54">
      <c r="A25" s="22"/>
      <c r="B25" s="23"/>
      <c r="C25" s="29">
        <v>20.9</v>
      </c>
      <c r="D25" s="34">
        <f t="shared" si="6"/>
        <v>5.6459330143540676</v>
      </c>
      <c r="E25" s="35">
        <f t="shared" si="6"/>
        <v>5.6937799043062203</v>
      </c>
      <c r="F25" s="6">
        <f t="shared" si="6"/>
        <v>5.7416267942583739</v>
      </c>
      <c r="G25" s="6">
        <f t="shared" si="6"/>
        <v>5.7894736842105265</v>
      </c>
      <c r="H25" s="6">
        <f t="shared" si="6"/>
        <v>5.8373205741626801</v>
      </c>
      <c r="I25" s="6">
        <f t="shared" si="6"/>
        <v>5.8851674641148328</v>
      </c>
      <c r="J25" s="24"/>
      <c r="K25" s="22"/>
      <c r="L25" s="23"/>
      <c r="M25" s="36">
        <f t="shared" si="5"/>
        <v>10.399999999999993</v>
      </c>
      <c r="N25" s="30">
        <f t="shared" si="3"/>
        <v>0.77795854141172249</v>
      </c>
      <c r="O25" s="30">
        <f t="shared" si="3"/>
        <v>0.80907688306819137</v>
      </c>
      <c r="P25" s="32">
        <f t="shared" si="3"/>
        <v>0.84019522472466035</v>
      </c>
      <c r="Q25" s="30">
        <f t="shared" si="3"/>
        <v>0.87131356638112922</v>
      </c>
      <c r="R25" s="30">
        <f t="shared" si="3"/>
        <v>0.90243190803759821</v>
      </c>
      <c r="S25" s="30">
        <f t="shared" si="3"/>
        <v>0.93355024969406708</v>
      </c>
      <c r="T25" s="24"/>
      <c r="U25" s="22"/>
      <c r="V25" s="23"/>
      <c r="W25" s="36">
        <v>19.399999999999999</v>
      </c>
      <c r="X25" s="30">
        <f t="shared" si="4"/>
        <v>32.216494845360828</v>
      </c>
      <c r="Y25" s="30">
        <f t="shared" si="4"/>
        <v>33.518041237113401</v>
      </c>
      <c r="Z25" s="30">
        <f t="shared" si="4"/>
        <v>34.845360824742272</v>
      </c>
      <c r="AA25" s="30">
        <f t="shared" si="4"/>
        <v>36.198453608247426</v>
      </c>
      <c r="AB25" s="30">
        <f t="shared" si="4"/>
        <v>37.577319587628871</v>
      </c>
      <c r="AC25" s="30">
        <f t="shared" si="4"/>
        <v>38.981958762886599</v>
      </c>
      <c r="AD25" s="24"/>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row>
    <row r="26" spans="1:54">
      <c r="A26" s="22"/>
      <c r="B26" s="23"/>
      <c r="C26" s="29">
        <v>21</v>
      </c>
      <c r="D26" s="34">
        <f t="shared" si="6"/>
        <v>5.6190476190476186</v>
      </c>
      <c r="E26" s="35">
        <f t="shared" si="6"/>
        <v>5.666666666666667</v>
      </c>
      <c r="F26" s="6">
        <f t="shared" si="6"/>
        <v>5.7142857142857144</v>
      </c>
      <c r="G26" s="6">
        <f t="shared" si="6"/>
        <v>5.7619047619047619</v>
      </c>
      <c r="H26" s="6">
        <f t="shared" si="6"/>
        <v>5.8095238095238093</v>
      </c>
      <c r="I26" s="6">
        <f t="shared" si="6"/>
        <v>5.8571428571428568</v>
      </c>
      <c r="J26" s="24"/>
      <c r="K26" s="22"/>
      <c r="L26" s="23"/>
      <c r="M26" s="36">
        <f t="shared" si="5"/>
        <v>10.499999999999993</v>
      </c>
      <c r="N26" s="30">
        <f t="shared" si="3"/>
        <v>0.76321084661307848</v>
      </c>
      <c r="O26" s="30">
        <f t="shared" si="3"/>
        <v>0.79373928047760156</v>
      </c>
      <c r="P26" s="32">
        <f t="shared" si="3"/>
        <v>0.82426771434212476</v>
      </c>
      <c r="Q26" s="30">
        <f t="shared" si="3"/>
        <v>0.85479614820664795</v>
      </c>
      <c r="R26" s="30">
        <f t="shared" si="3"/>
        <v>0.88532458207117115</v>
      </c>
      <c r="S26" s="30">
        <f t="shared" si="3"/>
        <v>0.91585301593569435</v>
      </c>
      <c r="T26" s="24"/>
      <c r="U26" s="22"/>
      <c r="V26" s="23"/>
      <c r="W26" s="29">
        <v>19.5</v>
      </c>
      <c r="X26" s="30">
        <f t="shared" si="4"/>
        <v>32.051282051282051</v>
      </c>
      <c r="Y26" s="30">
        <f t="shared" si="4"/>
        <v>33.346153846153847</v>
      </c>
      <c r="Z26" s="30">
        <f t="shared" si="4"/>
        <v>34.666666666666664</v>
      </c>
      <c r="AA26" s="30">
        <f t="shared" si="4"/>
        <v>36.012820512820511</v>
      </c>
      <c r="AB26" s="30">
        <f t="shared" si="4"/>
        <v>37.384615384615387</v>
      </c>
      <c r="AC26" s="30">
        <f t="shared" si="4"/>
        <v>38.782051282051285</v>
      </c>
      <c r="AD26" s="24"/>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row>
    <row r="27" spans="1:54">
      <c r="A27" s="22"/>
      <c r="B27" s="23"/>
      <c r="C27" s="29">
        <v>21.1</v>
      </c>
      <c r="D27" s="34">
        <f t="shared" si="6"/>
        <v>5.592417061611374</v>
      </c>
      <c r="E27" s="35">
        <f t="shared" si="6"/>
        <v>5.6398104265402837</v>
      </c>
      <c r="F27" s="6">
        <f t="shared" si="6"/>
        <v>5.6872037914691935</v>
      </c>
      <c r="G27" s="6">
        <f t="shared" si="6"/>
        <v>5.7345971563981042</v>
      </c>
      <c r="H27" s="6">
        <f t="shared" si="6"/>
        <v>5.781990521327014</v>
      </c>
      <c r="I27" s="6">
        <f t="shared" si="6"/>
        <v>5.8293838862559237</v>
      </c>
      <c r="J27" s="24"/>
      <c r="K27" s="22"/>
      <c r="L27" s="23"/>
      <c r="M27" s="36">
        <f t="shared" si="5"/>
        <v>10.599999999999993</v>
      </c>
      <c r="N27" s="30">
        <f t="shared" si="3"/>
        <v>0.74887856745364823</v>
      </c>
      <c r="O27" s="30">
        <f t="shared" si="3"/>
        <v>0.77883371015179415</v>
      </c>
      <c r="P27" s="32">
        <f t="shared" si="3"/>
        <v>0.80878885284994018</v>
      </c>
      <c r="Q27" s="30">
        <f t="shared" si="3"/>
        <v>0.8387439955480861</v>
      </c>
      <c r="R27" s="30">
        <f t="shared" si="3"/>
        <v>0.86869913824623202</v>
      </c>
      <c r="S27" s="30">
        <f t="shared" si="3"/>
        <v>0.89865428094437805</v>
      </c>
      <c r="T27" s="24"/>
      <c r="U27" s="22"/>
      <c r="V27" s="23"/>
      <c r="W27" s="36">
        <v>19.600000000000001</v>
      </c>
      <c r="X27" s="30">
        <f t="shared" si="4"/>
        <v>31.887755102040813</v>
      </c>
      <c r="Y27" s="30">
        <f t="shared" si="4"/>
        <v>33.176020408163261</v>
      </c>
      <c r="Z27" s="30">
        <f t="shared" si="4"/>
        <v>34.489795918367342</v>
      </c>
      <c r="AA27" s="30">
        <f t="shared" si="4"/>
        <v>35.829081632653057</v>
      </c>
      <c r="AB27" s="30">
        <f t="shared" si="4"/>
        <v>37.193877551020407</v>
      </c>
      <c r="AC27" s="30">
        <f t="shared" si="4"/>
        <v>38.584183673469383</v>
      </c>
      <c r="AD27" s="24"/>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row>
    <row r="28" spans="1:54">
      <c r="A28" s="22"/>
      <c r="B28" s="23"/>
      <c r="C28" s="29">
        <v>21.2</v>
      </c>
      <c r="D28" s="34">
        <f t="shared" si="6"/>
        <v>5.5660377358490569</v>
      </c>
      <c r="E28" s="35">
        <f t="shared" si="6"/>
        <v>5.6132075471698117</v>
      </c>
      <c r="F28" s="6">
        <f t="shared" si="6"/>
        <v>5.6603773584905666</v>
      </c>
      <c r="G28" s="6">
        <f t="shared" si="6"/>
        <v>5.7075471698113214</v>
      </c>
      <c r="H28" s="6">
        <f t="shared" si="6"/>
        <v>5.7547169811320753</v>
      </c>
      <c r="I28" s="6">
        <f t="shared" si="6"/>
        <v>5.8018867924528301</v>
      </c>
      <c r="J28" s="24"/>
      <c r="K28" s="22"/>
      <c r="L28" s="23"/>
      <c r="M28" s="36">
        <f t="shared" si="5"/>
        <v>10.699999999999992</v>
      </c>
      <c r="N28" s="30">
        <f t="shared" si="3"/>
        <v>0.7349462471752285</v>
      </c>
      <c r="O28" s="30">
        <f t="shared" si="3"/>
        <v>0.7643440970622376</v>
      </c>
      <c r="P28" s="32">
        <f t="shared" si="3"/>
        <v>0.79374194694924682</v>
      </c>
      <c r="Q28" s="30">
        <f t="shared" si="3"/>
        <v>0.82313979683625604</v>
      </c>
      <c r="R28" s="30">
        <f t="shared" si="3"/>
        <v>0.85253764672326515</v>
      </c>
      <c r="S28" s="30">
        <f t="shared" si="3"/>
        <v>0.88193549661027437</v>
      </c>
      <c r="T28" s="24"/>
      <c r="U28" s="22"/>
      <c r="V28" s="23"/>
      <c r="W28" s="29">
        <v>19.7</v>
      </c>
      <c r="X28" s="30">
        <f t="shared" si="4"/>
        <v>31.725888324873097</v>
      </c>
      <c r="Y28" s="30">
        <f t="shared" si="4"/>
        <v>33.007614213197968</v>
      </c>
      <c r="Z28" s="30">
        <f t="shared" si="4"/>
        <v>34.314720812182742</v>
      </c>
      <c r="AA28" s="30">
        <f t="shared" si="4"/>
        <v>35.647208121827411</v>
      </c>
      <c r="AB28" s="30">
        <f t="shared" si="4"/>
        <v>37.005076142131983</v>
      </c>
      <c r="AC28" s="30">
        <f t="shared" si="4"/>
        <v>38.388324873096451</v>
      </c>
      <c r="AD28" s="24"/>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row>
    <row r="29" spans="1:54">
      <c r="A29" s="22"/>
      <c r="B29" s="23"/>
      <c r="C29" s="29">
        <v>21.3</v>
      </c>
      <c r="D29" s="34">
        <f t="shared" si="6"/>
        <v>5.539906103286385</v>
      </c>
      <c r="E29" s="35">
        <f t="shared" si="6"/>
        <v>5.586854460093897</v>
      </c>
      <c r="F29" s="6">
        <f t="shared" si="6"/>
        <v>5.6338028169014081</v>
      </c>
      <c r="G29" s="6">
        <f t="shared" si="6"/>
        <v>5.68075117370892</v>
      </c>
      <c r="H29" s="6">
        <f t="shared" si="6"/>
        <v>5.727699530516432</v>
      </c>
      <c r="I29" s="6">
        <f t="shared" si="6"/>
        <v>5.7746478873239431</v>
      </c>
      <c r="J29" s="24"/>
      <c r="K29" s="22"/>
      <c r="L29" s="23"/>
      <c r="M29" s="36">
        <f t="shared" si="5"/>
        <v>10.799999999999992</v>
      </c>
      <c r="N29" s="30">
        <f t="shared" si="3"/>
        <v>0.72139914128165228</v>
      </c>
      <c r="O29" s="30">
        <f t="shared" si="3"/>
        <v>0.75025510693291841</v>
      </c>
      <c r="P29" s="32">
        <f t="shared" si="3"/>
        <v>0.77911107258418455</v>
      </c>
      <c r="Q29" s="30">
        <f t="shared" si="3"/>
        <v>0.80796703823545069</v>
      </c>
      <c r="R29" s="30">
        <f t="shared" si="3"/>
        <v>0.83682300388671671</v>
      </c>
      <c r="S29" s="30">
        <f t="shared" si="3"/>
        <v>0.86567896953798285</v>
      </c>
      <c r="T29" s="24"/>
      <c r="U29" s="22"/>
      <c r="V29" s="23"/>
      <c r="W29" s="36">
        <v>19.8</v>
      </c>
      <c r="X29" s="30">
        <f t="shared" si="4"/>
        <v>31.565656565656564</v>
      </c>
      <c r="Y29" s="30">
        <f t="shared" si="4"/>
        <v>32.840909090909086</v>
      </c>
      <c r="Z29" s="30">
        <f t="shared" si="4"/>
        <v>34.141414141414138</v>
      </c>
      <c r="AA29" s="30">
        <f t="shared" si="4"/>
        <v>35.467171717171716</v>
      </c>
      <c r="AB29" s="30">
        <f t="shared" si="4"/>
        <v>36.81818181818182</v>
      </c>
      <c r="AC29" s="30">
        <f t="shared" si="4"/>
        <v>38.194444444444443</v>
      </c>
      <c r="AD29" s="24"/>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row>
    <row r="30" spans="1:54">
      <c r="A30" s="22"/>
      <c r="B30" s="23"/>
      <c r="C30" s="29">
        <v>21.4</v>
      </c>
      <c r="D30" s="34">
        <f t="shared" si="6"/>
        <v>5.5140186915887854</v>
      </c>
      <c r="E30" s="35">
        <f t="shared" si="6"/>
        <v>5.5607476635514024</v>
      </c>
      <c r="F30" s="6">
        <f t="shared" si="6"/>
        <v>5.6074766355140193</v>
      </c>
      <c r="G30" s="6">
        <f t="shared" si="6"/>
        <v>5.6542056074766363</v>
      </c>
      <c r="H30" s="6">
        <f t="shared" si="6"/>
        <v>5.7009345794392523</v>
      </c>
      <c r="I30" s="6">
        <f t="shared" si="6"/>
        <v>5.7476635514018692</v>
      </c>
      <c r="J30" s="24"/>
      <c r="K30" s="22"/>
      <c r="L30" s="23"/>
      <c r="M30" s="36">
        <f t="shared" si="5"/>
        <v>10.899999999999991</v>
      </c>
      <c r="N30" s="30">
        <f t="shared" si="3"/>
        <v>0.70822317851268346</v>
      </c>
      <c r="O30" s="30">
        <f t="shared" si="3"/>
        <v>0.73655210565319085</v>
      </c>
      <c r="P30" s="32">
        <f t="shared" si="3"/>
        <v>0.76488103279369812</v>
      </c>
      <c r="Q30" s="30">
        <f t="shared" si="3"/>
        <v>0.79320995993420551</v>
      </c>
      <c r="R30" s="30">
        <f t="shared" si="3"/>
        <v>0.8215388870747129</v>
      </c>
      <c r="S30" s="30">
        <f t="shared" si="3"/>
        <v>0.84986781421522029</v>
      </c>
      <c r="T30" s="24"/>
      <c r="U30" s="22"/>
      <c r="V30" s="23"/>
      <c r="W30" s="29">
        <v>19.899999999999999</v>
      </c>
      <c r="X30" s="30">
        <f t="shared" si="4"/>
        <v>31.4070351758794</v>
      </c>
      <c r="Y30" s="30">
        <f t="shared" si="4"/>
        <v>32.675879396984925</v>
      </c>
      <c r="Z30" s="30">
        <f t="shared" si="4"/>
        <v>33.969849246231156</v>
      </c>
      <c r="AA30" s="30">
        <f t="shared" si="4"/>
        <v>35.288944723618094</v>
      </c>
      <c r="AB30" s="30">
        <f t="shared" si="4"/>
        <v>36.633165829145732</v>
      </c>
      <c r="AC30" s="30">
        <f t="shared" si="4"/>
        <v>38.002512562814076</v>
      </c>
      <c r="AD30" s="24"/>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row>
    <row r="31" spans="1:54">
      <c r="A31" s="22"/>
      <c r="B31" s="23"/>
      <c r="C31" s="29">
        <v>21.5</v>
      </c>
      <c r="D31" s="34">
        <f t="shared" si="6"/>
        <v>5.4883720930232558</v>
      </c>
      <c r="E31" s="35">
        <f t="shared" si="6"/>
        <v>5.5348837209302326</v>
      </c>
      <c r="F31" s="6">
        <f t="shared" si="6"/>
        <v>5.5813953488372094</v>
      </c>
      <c r="G31" s="6">
        <f t="shared" si="6"/>
        <v>5.6279069767441863</v>
      </c>
      <c r="H31" s="6">
        <f t="shared" si="6"/>
        <v>5.6744186046511631</v>
      </c>
      <c r="I31" s="6">
        <f t="shared" si="6"/>
        <v>5.7209302325581399</v>
      </c>
      <c r="J31" s="24"/>
      <c r="K31" s="22"/>
      <c r="L31" s="23"/>
      <c r="M31" s="36">
        <f t="shared" si="5"/>
        <v>10.999999999999991</v>
      </c>
      <c r="N31" s="30">
        <f t="shared" si="3"/>
        <v>0.69540492429001588</v>
      </c>
      <c r="O31" s="30">
        <f t="shared" si="3"/>
        <v>0.72322112126161653</v>
      </c>
      <c r="P31" s="32">
        <f t="shared" si="3"/>
        <v>0.75103731823321718</v>
      </c>
      <c r="Q31" s="30">
        <f t="shared" si="3"/>
        <v>0.77885351520481794</v>
      </c>
      <c r="R31" s="30">
        <f t="shared" si="3"/>
        <v>0.80666971217641859</v>
      </c>
      <c r="S31" s="30">
        <f t="shared" si="3"/>
        <v>0.83448590914801923</v>
      </c>
      <c r="T31" s="24"/>
      <c r="U31" s="22"/>
      <c r="V31" s="23"/>
      <c r="W31" s="36">
        <v>20</v>
      </c>
      <c r="X31" s="30">
        <f t="shared" si="4"/>
        <v>31.25</v>
      </c>
      <c r="Y31" s="30">
        <f t="shared" si="4"/>
        <v>32.512500000000003</v>
      </c>
      <c r="Z31" s="30">
        <f t="shared" si="4"/>
        <v>33.799999999999997</v>
      </c>
      <c r="AA31" s="30">
        <f t="shared" si="4"/>
        <v>35.112499999999997</v>
      </c>
      <c r="AB31" s="30">
        <f t="shared" si="4"/>
        <v>36.450000000000003</v>
      </c>
      <c r="AC31" s="30">
        <f t="shared" si="4"/>
        <v>37.8125</v>
      </c>
      <c r="AD31" s="24"/>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row>
    <row r="32" spans="1:54">
      <c r="A32" s="22"/>
      <c r="B32" s="23"/>
      <c r="C32" s="29">
        <v>21.6</v>
      </c>
      <c r="D32" s="34">
        <f t="shared" si="6"/>
        <v>5.4629629629629628</v>
      </c>
      <c r="E32" s="35">
        <f t="shared" si="6"/>
        <v>5.5092592592592586</v>
      </c>
      <c r="F32" s="6">
        <f t="shared" si="6"/>
        <v>5.5555555555555554</v>
      </c>
      <c r="G32" s="6">
        <f t="shared" si="6"/>
        <v>5.6018518518518512</v>
      </c>
      <c r="H32" s="6">
        <f t="shared" si="6"/>
        <v>5.6481481481481479</v>
      </c>
      <c r="I32" s="6">
        <f t="shared" si="6"/>
        <v>5.6944444444444438</v>
      </c>
      <c r="J32" s="24"/>
      <c r="K32" s="22"/>
      <c r="L32" s="23"/>
      <c r="M32" s="36">
        <f t="shared" si="5"/>
        <v>11.099999999999991</v>
      </c>
      <c r="N32" s="30">
        <f t="shared" si="3"/>
        <v>0.68293154645801424</v>
      </c>
      <c r="O32" s="30">
        <f t="shared" si="3"/>
        <v>0.71024880831633486</v>
      </c>
      <c r="P32" s="32">
        <f t="shared" si="3"/>
        <v>0.73756607017465547</v>
      </c>
      <c r="Q32" s="30">
        <f t="shared" si="3"/>
        <v>0.76488333203297598</v>
      </c>
      <c r="R32" s="30">
        <f t="shared" si="3"/>
        <v>0.7922005938912966</v>
      </c>
      <c r="S32" s="30">
        <f t="shared" si="3"/>
        <v>0.81951785574961722</v>
      </c>
      <c r="T32" s="24"/>
      <c r="U32" s="22"/>
      <c r="V32" s="23"/>
      <c r="W32" s="29">
        <v>20.100000000000001</v>
      </c>
      <c r="X32" s="30">
        <f t="shared" si="4"/>
        <v>31.094527363184078</v>
      </c>
      <c r="Y32" s="30">
        <f t="shared" si="4"/>
        <v>32.350746268656714</v>
      </c>
      <c r="Z32" s="30">
        <f t="shared" si="4"/>
        <v>33.631840796019901</v>
      </c>
      <c r="AA32" s="30">
        <f t="shared" si="4"/>
        <v>34.937810945273633</v>
      </c>
      <c r="AB32" s="30">
        <f t="shared" si="4"/>
        <v>36.268656716417908</v>
      </c>
      <c r="AC32" s="30">
        <f t="shared" si="4"/>
        <v>37.624378109452735</v>
      </c>
      <c r="AD32" s="24"/>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row>
    <row r="33" spans="1:54">
      <c r="A33" s="22"/>
      <c r="B33" s="23"/>
      <c r="C33" s="29">
        <v>21.7</v>
      </c>
      <c r="D33" s="34">
        <f t="shared" si="6"/>
        <v>5.4377880184331797</v>
      </c>
      <c r="E33" s="35">
        <f t="shared" si="6"/>
        <v>5.4838709677419359</v>
      </c>
      <c r="F33" s="6">
        <f t="shared" si="6"/>
        <v>5.5299539170506913</v>
      </c>
      <c r="G33" s="6">
        <f t="shared" si="6"/>
        <v>5.5760368663594475</v>
      </c>
      <c r="H33" s="6">
        <f t="shared" si="6"/>
        <v>5.6221198156682028</v>
      </c>
      <c r="I33" s="6">
        <f t="shared" si="6"/>
        <v>5.6682027649769591</v>
      </c>
      <c r="J33" s="24"/>
      <c r="K33" s="22"/>
      <c r="L33" s="23"/>
      <c r="M33" s="36">
        <f t="shared" si="5"/>
        <v>11.19999999999999</v>
      </c>
      <c r="N33" s="30">
        <f t="shared" si="3"/>
        <v>0.67079078315602636</v>
      </c>
      <c r="O33" s="30">
        <f t="shared" si="3"/>
        <v>0.69762241448226736</v>
      </c>
      <c r="P33" s="32">
        <f t="shared" si="3"/>
        <v>0.72445404580850847</v>
      </c>
      <c r="Q33" s="30">
        <f t="shared" si="3"/>
        <v>0.75128567713474959</v>
      </c>
      <c r="R33" s="30">
        <f t="shared" si="3"/>
        <v>0.7781173084609907</v>
      </c>
      <c r="S33" s="30">
        <f t="shared" si="3"/>
        <v>0.8049489397872317</v>
      </c>
      <c r="T33" s="24"/>
      <c r="U33" s="22"/>
      <c r="V33" s="23"/>
      <c r="W33" s="36">
        <v>20.2</v>
      </c>
      <c r="X33" s="30">
        <f t="shared" si="4"/>
        <v>30.940594059405942</v>
      </c>
      <c r="Y33" s="30">
        <f t="shared" si="4"/>
        <v>32.190594059405939</v>
      </c>
      <c r="Z33" s="30">
        <f t="shared" si="4"/>
        <v>33.465346534653463</v>
      </c>
      <c r="AA33" s="30">
        <f t="shared" si="4"/>
        <v>34.764851485148519</v>
      </c>
      <c r="AB33" s="30">
        <f t="shared" si="4"/>
        <v>36.089108910891092</v>
      </c>
      <c r="AC33" s="30">
        <f t="shared" si="4"/>
        <v>37.438118811881189</v>
      </c>
      <c r="AD33" s="24"/>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row>
    <row r="34" spans="1:54">
      <c r="A34" s="22"/>
      <c r="B34" s="23"/>
      <c r="C34" s="29">
        <v>21.8</v>
      </c>
      <c r="D34" s="34">
        <f t="shared" si="6"/>
        <v>5.4128440366972477</v>
      </c>
      <c r="E34" s="35">
        <f t="shared" si="6"/>
        <v>5.4587155963302747</v>
      </c>
      <c r="F34" s="6">
        <f t="shared" si="6"/>
        <v>5.5045871559633026</v>
      </c>
      <c r="G34" s="6">
        <f t="shared" si="6"/>
        <v>5.5504587155963305</v>
      </c>
      <c r="H34" s="6">
        <f t="shared" si="6"/>
        <v>5.5963302752293576</v>
      </c>
      <c r="I34" s="6">
        <f t="shared" si="6"/>
        <v>5.6422018348623855</v>
      </c>
      <c r="J34" s="24"/>
      <c r="K34" s="22"/>
      <c r="L34" s="23"/>
      <c r="M34" s="36">
        <f t="shared" si="5"/>
        <v>11.29999999999999</v>
      </c>
      <c r="N34" s="30">
        <f t="shared" si="3"/>
        <v>0.65897091267203334</v>
      </c>
      <c r="O34" s="30">
        <f t="shared" si="3"/>
        <v>0.68532974917891476</v>
      </c>
      <c r="P34" s="32">
        <f t="shared" si="3"/>
        <v>0.71168858568579607</v>
      </c>
      <c r="Q34" s="30">
        <f t="shared" si="3"/>
        <v>0.73804742219267749</v>
      </c>
      <c r="R34" s="30">
        <f t="shared" si="3"/>
        <v>0.7644062586995588</v>
      </c>
      <c r="S34" s="30">
        <f t="shared" si="3"/>
        <v>0.79076509520644023</v>
      </c>
      <c r="T34" s="24"/>
      <c r="U34" s="22"/>
      <c r="V34" s="23"/>
      <c r="W34" s="29">
        <v>20.3</v>
      </c>
      <c r="X34" s="30">
        <f t="shared" si="4"/>
        <v>30.788177339901477</v>
      </c>
      <c r="Y34" s="30">
        <f t="shared" si="4"/>
        <v>32.032019704433495</v>
      </c>
      <c r="Z34" s="30">
        <f t="shared" si="4"/>
        <v>33.300492610837438</v>
      </c>
      <c r="AA34" s="30">
        <f t="shared" si="4"/>
        <v>34.593596059113302</v>
      </c>
      <c r="AB34" s="30">
        <f t="shared" si="4"/>
        <v>35.911330049261082</v>
      </c>
      <c r="AC34" s="30">
        <f t="shared" si="4"/>
        <v>37.25369458128079</v>
      </c>
      <c r="AD34" s="24"/>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row>
    <row r="35" spans="1:54">
      <c r="A35" s="22"/>
      <c r="B35" s="23"/>
      <c r="C35" s="29">
        <v>21.9</v>
      </c>
      <c r="D35" s="34">
        <f t="shared" si="6"/>
        <v>5.3881278538812785</v>
      </c>
      <c r="E35" s="35">
        <f t="shared" si="6"/>
        <v>5.4337899543379002</v>
      </c>
      <c r="F35" s="6">
        <f t="shared" si="6"/>
        <v>5.4794520547945211</v>
      </c>
      <c r="G35" s="6">
        <f t="shared" si="6"/>
        <v>5.525114155251142</v>
      </c>
      <c r="H35" s="6">
        <f t="shared" si="6"/>
        <v>5.5707762557077629</v>
      </c>
      <c r="I35" s="6">
        <f t="shared" si="6"/>
        <v>5.6164383561643838</v>
      </c>
      <c r="J35" s="24"/>
      <c r="K35" s="22"/>
      <c r="L35" s="23"/>
      <c r="M35" s="36">
        <f t="shared" si="5"/>
        <v>11.39999999999999</v>
      </c>
      <c r="N35" s="30">
        <f t="shared" si="3"/>
        <v>0.64746072513921171</v>
      </c>
      <c r="O35" s="30">
        <f t="shared" si="3"/>
        <v>0.6733591541447802</v>
      </c>
      <c r="P35" s="32">
        <f t="shared" si="3"/>
        <v>0.69925758315034869</v>
      </c>
      <c r="Q35" s="30">
        <f t="shared" si="3"/>
        <v>0.72515601215591718</v>
      </c>
      <c r="R35" s="30">
        <f t="shared" si="3"/>
        <v>0.75105444116148568</v>
      </c>
      <c r="S35" s="30">
        <f t="shared" si="3"/>
        <v>0.77695287016705417</v>
      </c>
      <c r="T35" s="24"/>
      <c r="U35" s="22"/>
      <c r="V35" s="23"/>
      <c r="W35" s="36">
        <v>20.399999999999999</v>
      </c>
      <c r="X35" s="30">
        <f t="shared" si="4"/>
        <v>30.637254901960787</v>
      </c>
      <c r="Y35" s="30">
        <f t="shared" si="4"/>
        <v>31.875000000000004</v>
      </c>
      <c r="Z35" s="30">
        <f t="shared" si="4"/>
        <v>33.137254901960787</v>
      </c>
      <c r="AA35" s="30">
        <f t="shared" si="4"/>
        <v>34.424019607843142</v>
      </c>
      <c r="AB35" s="30">
        <f t="shared" si="4"/>
        <v>35.735294117647058</v>
      </c>
      <c r="AC35" s="30">
        <f t="shared" si="4"/>
        <v>37.071078431372548</v>
      </c>
      <c r="AD35" s="24"/>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row>
    <row r="36" spans="1:54">
      <c r="A36" s="22"/>
      <c r="B36" s="23"/>
      <c r="C36" s="29">
        <v>22</v>
      </c>
      <c r="D36" s="34">
        <f t="shared" si="6"/>
        <v>5.3636363636363633</v>
      </c>
      <c r="E36" s="35">
        <f t="shared" si="6"/>
        <v>5.4090909090909092</v>
      </c>
      <c r="F36" s="6">
        <f t="shared" si="6"/>
        <v>5.4545454545454541</v>
      </c>
      <c r="G36" s="6">
        <f t="shared" si="6"/>
        <v>5.5</v>
      </c>
      <c r="H36" s="6">
        <f t="shared" si="6"/>
        <v>5.5454545454545459</v>
      </c>
      <c r="I36" s="6">
        <f t="shared" si="6"/>
        <v>5.5909090909090908</v>
      </c>
      <c r="J36" s="24"/>
      <c r="K36" s="22"/>
      <c r="L36" s="23"/>
      <c r="M36" s="36">
        <f t="shared" si="5"/>
        <v>11.499999999999989</v>
      </c>
      <c r="N36" s="30">
        <f t="shared" si="3"/>
        <v>0.63624949594776514</v>
      </c>
      <c r="O36" s="30">
        <f t="shared" si="3"/>
        <v>0.66169947578567578</v>
      </c>
      <c r="P36" s="32">
        <f t="shared" si="3"/>
        <v>0.68714945562358642</v>
      </c>
      <c r="Q36" s="30">
        <f t="shared" si="3"/>
        <v>0.71259943546149707</v>
      </c>
      <c r="R36" s="30">
        <f t="shared" si="3"/>
        <v>0.73804941529940771</v>
      </c>
      <c r="S36" s="30">
        <f t="shared" si="3"/>
        <v>0.76349939513731835</v>
      </c>
      <c r="T36" s="24"/>
      <c r="U36" s="22"/>
      <c r="V36" s="23"/>
      <c r="W36" s="29">
        <v>20.5</v>
      </c>
      <c r="X36" s="30">
        <f t="shared" si="4"/>
        <v>30.487804878048781</v>
      </c>
      <c r="Y36" s="30">
        <f t="shared" si="4"/>
        <v>31.719512195121951</v>
      </c>
      <c r="Z36" s="30">
        <f t="shared" si="4"/>
        <v>32.975609756097562</v>
      </c>
      <c r="AA36" s="30">
        <f t="shared" si="4"/>
        <v>34.256097560975611</v>
      </c>
      <c r="AB36" s="30">
        <f t="shared" si="4"/>
        <v>35.560975609756099</v>
      </c>
      <c r="AC36" s="30">
        <f t="shared" si="4"/>
        <v>36.890243902439025</v>
      </c>
      <c r="AD36" s="24"/>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row>
    <row r="37" spans="1:54">
      <c r="A37" s="22"/>
      <c r="B37" s="23"/>
      <c r="C37" s="23"/>
      <c r="D37" s="23"/>
      <c r="E37" s="23"/>
      <c r="F37" s="23"/>
      <c r="G37" s="23"/>
      <c r="H37" s="23"/>
      <c r="I37" s="23"/>
      <c r="J37" s="24"/>
      <c r="K37" s="22"/>
      <c r="L37" s="23"/>
      <c r="M37" s="23"/>
      <c r="N37" s="23"/>
      <c r="O37" s="23"/>
      <c r="P37" s="23"/>
      <c r="Q37" s="23"/>
      <c r="R37" s="23"/>
      <c r="S37" s="23"/>
      <c r="T37" s="24"/>
      <c r="U37" s="22"/>
      <c r="V37" s="23"/>
      <c r="W37" s="23"/>
      <c r="X37" s="23"/>
      <c r="Y37" s="23"/>
      <c r="Z37" s="23"/>
      <c r="AA37" s="23"/>
      <c r="AB37" s="23"/>
      <c r="AC37" s="23"/>
      <c r="AD37" s="24"/>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row>
    <row r="38" spans="1:54">
      <c r="A38" s="22"/>
      <c r="B38" s="23"/>
      <c r="C38" s="23"/>
      <c r="D38" s="23"/>
      <c r="E38" s="23"/>
      <c r="F38" s="23"/>
      <c r="G38" s="23"/>
      <c r="H38" s="23"/>
      <c r="I38" s="23"/>
      <c r="J38" s="24"/>
      <c r="K38" s="22"/>
      <c r="L38" s="23"/>
      <c r="M38" s="23"/>
      <c r="N38" s="23"/>
      <c r="O38" s="23"/>
      <c r="P38" s="23"/>
      <c r="Q38" s="23"/>
      <c r="R38" s="23"/>
      <c r="S38" s="23"/>
      <c r="T38" s="24"/>
      <c r="U38" s="22"/>
      <c r="V38" s="23"/>
      <c r="W38" s="23"/>
      <c r="X38" s="23"/>
      <c r="Y38" s="23"/>
      <c r="Z38" s="23"/>
      <c r="AA38" s="23"/>
      <c r="AB38" s="23"/>
      <c r="AC38" s="23"/>
      <c r="AD38" s="24"/>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row>
    <row r="39" spans="1:54">
      <c r="A39" s="22"/>
      <c r="B39" s="23"/>
      <c r="C39" s="23"/>
      <c r="D39" s="23"/>
      <c r="E39" s="23"/>
      <c r="F39" s="23"/>
      <c r="G39" s="23"/>
      <c r="H39" s="23"/>
      <c r="I39" s="23"/>
      <c r="J39" s="24"/>
      <c r="K39" s="22"/>
      <c r="L39" s="23"/>
      <c r="M39" s="23"/>
      <c r="N39" s="23"/>
      <c r="O39" s="23"/>
      <c r="P39" s="23"/>
      <c r="Q39" s="23"/>
      <c r="R39" s="23"/>
      <c r="S39" s="23"/>
      <c r="T39" s="24"/>
      <c r="U39" s="22"/>
      <c r="V39" s="23"/>
      <c r="W39" s="23"/>
      <c r="X39" s="23"/>
      <c r="Y39" s="23"/>
      <c r="Z39" s="23"/>
      <c r="AA39" s="23"/>
      <c r="AB39" s="23"/>
      <c r="AC39" s="23"/>
      <c r="AD39" s="24"/>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row>
    <row r="40" spans="1:54" ht="19.5" thickBot="1">
      <c r="A40" s="39"/>
      <c r="B40" s="40"/>
      <c r="C40" s="40"/>
      <c r="D40" s="40"/>
      <c r="E40" s="40"/>
      <c r="F40" s="40"/>
      <c r="G40" s="40"/>
      <c r="H40" s="40"/>
      <c r="I40" s="40"/>
      <c r="J40" s="41"/>
      <c r="K40" s="39"/>
      <c r="L40" s="40"/>
      <c r="M40" s="40"/>
      <c r="N40" s="40"/>
      <c r="O40" s="40"/>
      <c r="P40" s="40"/>
      <c r="Q40" s="40"/>
      <c r="R40" s="40"/>
      <c r="S40" s="40"/>
      <c r="T40" s="41"/>
      <c r="U40" s="39"/>
      <c r="V40" s="40"/>
      <c r="W40" s="40"/>
      <c r="X40" s="40"/>
      <c r="Y40" s="40"/>
      <c r="Z40" s="40"/>
      <c r="AA40" s="40"/>
      <c r="AB40" s="40"/>
      <c r="AC40" s="40"/>
      <c r="AD40" s="41"/>
      <c r="AE40" s="40"/>
      <c r="AF40" s="40"/>
      <c r="AG40" s="40"/>
      <c r="AH40" s="40"/>
      <c r="AI40" s="40"/>
      <c r="AJ40" s="40"/>
      <c r="AK40" s="40"/>
      <c r="AL40" s="40"/>
      <c r="AM40" s="40"/>
      <c r="AN40" s="40"/>
      <c r="AO40" s="40"/>
      <c r="AP40" s="40"/>
      <c r="AQ40" s="40"/>
      <c r="AR40" s="40"/>
      <c r="AS40" s="40"/>
      <c r="AT40" s="40"/>
      <c r="AU40" s="40"/>
      <c r="AV40" s="40"/>
      <c r="AW40" s="40"/>
      <c r="AX40" s="40"/>
      <c r="AY40" s="40"/>
      <c r="AZ40" s="40"/>
      <c r="BA40" s="40"/>
      <c r="BB40" s="40"/>
    </row>
    <row r="41" spans="1:54">
      <c r="A41" s="42"/>
      <c r="B41" s="43"/>
      <c r="C41" s="43"/>
      <c r="D41" s="43"/>
      <c r="E41" s="43"/>
      <c r="F41" s="43"/>
      <c r="G41" s="43"/>
      <c r="H41" s="43"/>
      <c r="I41" s="43"/>
      <c r="J41" s="44"/>
      <c r="K41" s="42"/>
      <c r="L41" s="43"/>
      <c r="M41" s="43"/>
      <c r="N41" s="43"/>
      <c r="O41" s="43"/>
      <c r="P41" s="43"/>
      <c r="Q41" s="43"/>
      <c r="R41" s="43"/>
      <c r="S41" s="43"/>
      <c r="T41" s="44"/>
      <c r="U41" s="42"/>
      <c r="V41" s="43"/>
      <c r="W41" s="43"/>
      <c r="X41" s="43"/>
      <c r="Y41" s="43"/>
      <c r="Z41" s="43"/>
      <c r="AA41" s="43"/>
      <c r="AB41" s="43"/>
      <c r="AC41" s="43"/>
      <c r="AD41" s="44"/>
      <c r="AE41" s="43"/>
      <c r="AF41" s="43"/>
      <c r="AG41" s="43"/>
      <c r="AH41" s="43"/>
      <c r="AI41" s="43"/>
      <c r="AJ41" s="43"/>
      <c r="AK41" s="43"/>
      <c r="AL41" s="43"/>
      <c r="AM41" s="43"/>
      <c r="AN41" s="43"/>
      <c r="AO41" s="43"/>
      <c r="AP41" s="43"/>
      <c r="AQ41" s="43"/>
      <c r="AR41" s="43"/>
      <c r="AS41" s="43"/>
      <c r="AT41" s="43"/>
      <c r="AU41" s="43"/>
      <c r="AV41" s="43"/>
      <c r="AW41" s="43"/>
      <c r="AX41" s="43"/>
      <c r="AY41" s="43"/>
      <c r="AZ41" s="43"/>
      <c r="BA41" s="43"/>
      <c r="BB41" s="43"/>
    </row>
    <row r="42" spans="1:54">
      <c r="A42" s="22"/>
      <c r="B42" s="23" t="s">
        <v>299</v>
      </c>
      <c r="C42" s="23"/>
      <c r="D42" s="23"/>
      <c r="E42" s="23"/>
      <c r="F42" s="23"/>
      <c r="G42" s="23"/>
      <c r="H42" s="23"/>
      <c r="I42" s="23"/>
      <c r="J42" s="24"/>
      <c r="K42" s="22"/>
      <c r="L42" s="23"/>
      <c r="M42" s="23"/>
      <c r="N42" s="23"/>
      <c r="O42" s="23"/>
      <c r="P42" s="23"/>
      <c r="Q42" s="23"/>
      <c r="R42" s="23"/>
      <c r="S42" s="291"/>
      <c r="T42" s="292"/>
      <c r="U42" s="22"/>
      <c r="V42" s="23"/>
      <c r="W42" s="23"/>
      <c r="X42" s="23"/>
      <c r="Y42" s="23"/>
      <c r="Z42" s="23"/>
      <c r="AA42" s="23"/>
      <c r="AB42" s="23"/>
      <c r="AC42" s="23"/>
      <c r="AD42" s="24"/>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row>
    <row r="43" spans="1:54">
      <c r="A43" s="22"/>
      <c r="B43" s="23"/>
      <c r="C43" s="23"/>
      <c r="D43" s="23"/>
      <c r="E43" s="23"/>
      <c r="F43" s="23"/>
      <c r="G43" s="23"/>
      <c r="H43" s="23"/>
      <c r="I43" s="23"/>
      <c r="J43" s="24"/>
      <c r="K43" s="22"/>
      <c r="L43" s="23"/>
      <c r="M43" s="23"/>
      <c r="N43" s="23"/>
      <c r="O43" s="23"/>
      <c r="P43" s="23"/>
      <c r="Q43" s="23"/>
      <c r="R43" s="23"/>
      <c r="S43" s="23"/>
      <c r="T43" s="24"/>
      <c r="U43" s="22"/>
      <c r="V43" s="23"/>
      <c r="W43" s="23"/>
      <c r="X43" s="23"/>
      <c r="Y43" s="23"/>
      <c r="Z43" s="23"/>
      <c r="AA43" s="23"/>
      <c r="AB43" s="23"/>
      <c r="AC43" s="23"/>
      <c r="AD43" s="24"/>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row>
    <row r="44" spans="1:54">
      <c r="A44" s="22"/>
      <c r="B44" s="45" t="s">
        <v>300</v>
      </c>
      <c r="C44" s="45" t="s">
        <v>301</v>
      </c>
      <c r="D44" s="6" t="s">
        <v>302</v>
      </c>
      <c r="E44" s="23"/>
      <c r="F44" s="23"/>
      <c r="G44" s="23"/>
      <c r="H44" s="23"/>
      <c r="I44" s="23"/>
      <c r="J44" s="24"/>
      <c r="K44" s="22"/>
      <c r="L44" s="23"/>
      <c r="M44" s="23"/>
      <c r="N44" s="23"/>
      <c r="O44" s="23"/>
      <c r="P44" s="23"/>
      <c r="Q44" s="23"/>
      <c r="R44" s="23"/>
      <c r="S44" s="23"/>
      <c r="T44" s="24"/>
      <c r="U44" s="22"/>
      <c r="V44" s="23"/>
      <c r="W44" s="23"/>
      <c r="X44" s="23"/>
      <c r="Y44" s="23"/>
      <c r="Z44" s="23"/>
      <c r="AA44" s="23"/>
      <c r="AB44" s="23"/>
      <c r="AC44" s="23"/>
      <c r="AD44" s="24"/>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row>
    <row r="45" spans="1:54">
      <c r="A45" s="22"/>
      <c r="B45" s="6">
        <v>0</v>
      </c>
      <c r="C45" s="6">
        <f>1.576*B45^3-3.458*B45^2+2.882*B45</f>
        <v>0</v>
      </c>
      <c r="D45" s="6">
        <f>C45*0.85</f>
        <v>0</v>
      </c>
      <c r="E45" s="23"/>
      <c r="F45" s="23"/>
      <c r="G45" s="23"/>
      <c r="H45" s="23"/>
      <c r="I45" s="23"/>
      <c r="J45" s="24"/>
      <c r="K45" s="22"/>
      <c r="L45" s="23"/>
      <c r="M45" s="23"/>
      <c r="N45" s="23"/>
      <c r="O45" s="23"/>
      <c r="P45" s="23"/>
      <c r="Q45" s="23"/>
      <c r="R45" s="23"/>
      <c r="S45" s="23"/>
      <c r="T45" s="24"/>
      <c r="U45" s="22"/>
      <c r="V45" s="23"/>
      <c r="W45" s="23"/>
      <c r="X45" s="23"/>
      <c r="Y45" s="23"/>
      <c r="Z45" s="23"/>
      <c r="AA45" s="23"/>
      <c r="AB45" s="23"/>
      <c r="AC45" s="23"/>
      <c r="AD45" s="24"/>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row>
    <row r="46" spans="1:54">
      <c r="A46" s="22"/>
      <c r="B46" s="6">
        <f>B45+0.04</f>
        <v>0.04</v>
      </c>
      <c r="C46" s="6">
        <f t="shared" ref="C46:C70" si="7">1.576*B46^3-3.458*B46^2+2.882*B46</f>
        <v>0.10984806400000001</v>
      </c>
      <c r="D46" s="6">
        <f t="shared" ref="D46:D70" si="8">C46*0.85</f>
        <v>9.3370854400000008E-2</v>
      </c>
      <c r="E46" s="23"/>
      <c r="F46" s="23"/>
      <c r="G46" s="23"/>
      <c r="H46" s="23"/>
      <c r="I46" s="23"/>
      <c r="J46" s="24"/>
      <c r="K46" s="22"/>
      <c r="L46" s="23"/>
      <c r="M46" s="23"/>
      <c r="N46" s="23"/>
      <c r="O46" s="23"/>
      <c r="P46" s="23"/>
      <c r="Q46" s="23"/>
      <c r="R46" s="23"/>
      <c r="S46" s="23"/>
      <c r="T46" s="24"/>
      <c r="U46" s="22"/>
      <c r="V46" s="23"/>
      <c r="W46" s="23"/>
      <c r="X46" s="23"/>
      <c r="Y46" s="23"/>
      <c r="Z46" s="23"/>
      <c r="AA46" s="23"/>
      <c r="AB46" s="23"/>
      <c r="AC46" s="23"/>
      <c r="AD46" s="24"/>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row>
    <row r="47" spans="1:54">
      <c r="A47" s="22"/>
      <c r="B47" s="6">
        <f t="shared" ref="B47:B70" si="9">B46+0.04</f>
        <v>0.08</v>
      </c>
      <c r="C47" s="6">
        <f t="shared" si="7"/>
        <v>0.20923571200000002</v>
      </c>
      <c r="D47" s="6">
        <f t="shared" si="8"/>
        <v>0.1778503552</v>
      </c>
      <c r="E47" s="23"/>
      <c r="F47" s="23"/>
      <c r="G47" s="23"/>
      <c r="H47" s="23"/>
      <c r="I47" s="23"/>
      <c r="J47" s="24"/>
      <c r="K47" s="22"/>
      <c r="L47" s="23"/>
      <c r="M47" s="23"/>
      <c r="N47" s="23"/>
      <c r="O47" s="23"/>
      <c r="P47" s="23"/>
      <c r="Q47" s="23"/>
      <c r="R47" s="23"/>
      <c r="S47" s="23"/>
      <c r="T47" s="24"/>
      <c r="U47" s="22"/>
      <c r="V47" s="23"/>
      <c r="W47" s="23"/>
      <c r="X47" s="23"/>
      <c r="Y47" s="23"/>
      <c r="Z47" s="23"/>
      <c r="AA47" s="23"/>
      <c r="AB47" s="23"/>
      <c r="AC47" s="23"/>
      <c r="AD47" s="24"/>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row>
    <row r="48" spans="1:54">
      <c r="A48" s="22"/>
      <c r="B48" s="6">
        <f t="shared" si="9"/>
        <v>0.12</v>
      </c>
      <c r="C48" s="6">
        <f t="shared" si="7"/>
        <v>0.29876812799999997</v>
      </c>
      <c r="D48" s="6">
        <f t="shared" si="8"/>
        <v>0.25395290879999999</v>
      </c>
      <c r="E48" s="23"/>
      <c r="F48" s="23"/>
      <c r="G48" s="23"/>
      <c r="H48" s="23"/>
      <c r="I48" s="23"/>
      <c r="J48" s="24"/>
      <c r="K48" s="22"/>
      <c r="L48" s="23"/>
      <c r="M48" s="23"/>
      <c r="N48" s="23"/>
      <c r="O48" s="23"/>
      <c r="P48" s="23"/>
      <c r="Q48" s="23"/>
      <c r="R48" s="23"/>
      <c r="S48" s="23"/>
      <c r="T48" s="24"/>
      <c r="U48" s="22"/>
      <c r="V48" s="23"/>
      <c r="W48" s="23"/>
      <c r="X48" s="23"/>
      <c r="Y48" s="23"/>
      <c r="Z48" s="23"/>
      <c r="AA48" s="23"/>
      <c r="AB48" s="23"/>
      <c r="AC48" s="23"/>
      <c r="AD48" s="24"/>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row>
    <row r="49" spans="1:54">
      <c r="A49" s="22"/>
      <c r="B49" s="6">
        <f t="shared" si="9"/>
        <v>0.16</v>
      </c>
      <c r="C49" s="6">
        <f t="shared" si="7"/>
        <v>0.37905049600000001</v>
      </c>
      <c r="D49" s="6">
        <f t="shared" si="8"/>
        <v>0.32219292160000002</v>
      </c>
      <c r="E49" s="23"/>
      <c r="F49" s="23"/>
      <c r="G49" s="23"/>
      <c r="H49" s="23"/>
      <c r="I49" s="23"/>
      <c r="J49" s="24"/>
      <c r="K49" s="22"/>
      <c r="L49" s="23"/>
      <c r="M49" s="23"/>
      <c r="N49" s="23"/>
      <c r="O49" s="23"/>
      <c r="P49" s="23"/>
      <c r="Q49" s="23"/>
      <c r="R49" s="23"/>
      <c r="S49" s="23"/>
      <c r="T49" s="24"/>
      <c r="U49" s="22"/>
      <c r="V49" s="23"/>
      <c r="W49" s="23"/>
      <c r="X49" s="23"/>
      <c r="Y49" s="23"/>
      <c r="Z49" s="23"/>
      <c r="AA49" s="23"/>
      <c r="AB49" s="23"/>
      <c r="AC49" s="23"/>
      <c r="AD49" s="24"/>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row>
    <row r="50" spans="1:54">
      <c r="A50" s="22"/>
      <c r="B50" s="6">
        <f t="shared" si="9"/>
        <v>0.2</v>
      </c>
      <c r="C50" s="6">
        <f t="shared" si="7"/>
        <v>0.45068799999999998</v>
      </c>
      <c r="D50" s="6">
        <f t="shared" si="8"/>
        <v>0.38308479999999995</v>
      </c>
      <c r="E50" s="23"/>
      <c r="F50" s="23"/>
      <c r="G50" s="23"/>
      <c r="H50" s="23"/>
      <c r="I50" s="23"/>
      <c r="J50" s="24"/>
      <c r="K50" s="22"/>
      <c r="L50" s="23"/>
      <c r="M50" s="23"/>
      <c r="N50" s="23"/>
      <c r="O50" s="23"/>
      <c r="P50" s="23"/>
      <c r="Q50" s="23"/>
      <c r="R50" s="23"/>
      <c r="S50" s="23"/>
      <c r="T50" s="24"/>
      <c r="U50" s="22"/>
      <c r="V50" s="23"/>
      <c r="W50" s="23"/>
      <c r="X50" s="23"/>
      <c r="Y50" s="23"/>
      <c r="Z50" s="23"/>
      <c r="AA50" s="23"/>
      <c r="AB50" s="23"/>
      <c r="AC50" s="23"/>
      <c r="AD50" s="24"/>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row>
    <row r="51" spans="1:54">
      <c r="A51" s="22"/>
      <c r="B51" s="6">
        <f t="shared" si="9"/>
        <v>0.24000000000000002</v>
      </c>
      <c r="C51" s="6">
        <f t="shared" si="7"/>
        <v>0.514285824</v>
      </c>
      <c r="D51" s="6">
        <f t="shared" si="8"/>
        <v>0.43714295040000001</v>
      </c>
      <c r="E51" s="23"/>
      <c r="F51" s="23"/>
      <c r="G51" s="23"/>
      <c r="H51" s="23"/>
      <c r="I51" s="23"/>
      <c r="J51" s="24"/>
      <c r="K51" s="22"/>
      <c r="L51" s="23"/>
      <c r="M51" s="23"/>
      <c r="N51" s="23"/>
      <c r="O51" s="23"/>
      <c r="P51" s="23"/>
      <c r="Q51" s="23"/>
      <c r="R51" s="23"/>
      <c r="S51" s="23"/>
      <c r="T51" s="24"/>
      <c r="U51" s="22"/>
      <c r="V51" s="23"/>
      <c r="W51" s="23"/>
      <c r="X51" s="23"/>
      <c r="Y51" s="23"/>
      <c r="Z51" s="23"/>
      <c r="AA51" s="23"/>
      <c r="AB51" s="23"/>
      <c r="AC51" s="23"/>
      <c r="AD51" s="24"/>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row>
    <row r="52" spans="1:54">
      <c r="A52" s="22"/>
      <c r="B52" s="6">
        <f t="shared" si="9"/>
        <v>0.28000000000000003</v>
      </c>
      <c r="C52" s="6">
        <f t="shared" si="7"/>
        <v>0.57044915200000013</v>
      </c>
      <c r="D52" s="6">
        <f t="shared" si="8"/>
        <v>0.48488177920000008</v>
      </c>
      <c r="E52" s="23"/>
      <c r="F52" s="23"/>
      <c r="G52" s="23"/>
      <c r="H52" s="23"/>
      <c r="I52" s="23"/>
      <c r="J52" s="24"/>
      <c r="K52" s="22"/>
      <c r="L52" s="23"/>
      <c r="M52" s="23"/>
      <c r="N52" s="23"/>
      <c r="O52" s="23"/>
      <c r="P52" s="23"/>
      <c r="Q52" s="23"/>
      <c r="R52" s="23"/>
      <c r="S52" s="23"/>
      <c r="T52" s="24"/>
      <c r="U52" s="22"/>
      <c r="V52" s="23"/>
      <c r="W52" s="23"/>
      <c r="X52" s="23"/>
      <c r="Y52" s="23"/>
      <c r="Z52" s="23"/>
      <c r="AA52" s="23"/>
      <c r="AB52" s="23"/>
      <c r="AC52" s="23"/>
      <c r="AD52" s="24"/>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row>
    <row r="53" spans="1:54">
      <c r="A53" s="22"/>
      <c r="B53" s="6">
        <f t="shared" si="9"/>
        <v>0.32</v>
      </c>
      <c r="C53" s="6">
        <f t="shared" si="7"/>
        <v>0.619783168</v>
      </c>
      <c r="D53" s="6">
        <f t="shared" si="8"/>
        <v>0.52681569279999996</v>
      </c>
      <c r="E53" s="23"/>
      <c r="F53" s="23"/>
      <c r="G53" s="23"/>
      <c r="H53" s="23"/>
      <c r="I53" s="23"/>
      <c r="J53" s="24"/>
      <c r="K53" s="22"/>
      <c r="L53" s="23"/>
      <c r="M53" s="23"/>
      <c r="N53" s="23"/>
      <c r="O53" s="23"/>
      <c r="P53" s="23"/>
      <c r="Q53" s="23"/>
      <c r="R53" s="23"/>
      <c r="S53" s="23"/>
      <c r="T53" s="24"/>
      <c r="U53" s="22"/>
      <c r="V53" s="23"/>
      <c r="W53" s="23"/>
      <c r="X53" s="23"/>
      <c r="Y53" s="23"/>
      <c r="Z53" s="23"/>
      <c r="AA53" s="23"/>
      <c r="AB53" s="23"/>
      <c r="AC53" s="23"/>
      <c r="AD53" s="24"/>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row>
    <row r="54" spans="1:54">
      <c r="A54" s="22"/>
      <c r="B54" s="6">
        <f t="shared" si="9"/>
        <v>0.36</v>
      </c>
      <c r="C54" s="6">
        <f t="shared" si="7"/>
        <v>0.66289305599999993</v>
      </c>
      <c r="D54" s="6">
        <f t="shared" si="8"/>
        <v>0.5634590975999999</v>
      </c>
      <c r="E54" s="23"/>
      <c r="F54" s="23"/>
      <c r="G54" s="23"/>
      <c r="H54" s="23"/>
      <c r="I54" s="23"/>
      <c r="J54" s="24"/>
      <c r="K54" s="22"/>
      <c r="L54" s="23"/>
      <c r="M54" s="23"/>
      <c r="N54" s="23"/>
      <c r="O54" s="23"/>
      <c r="P54" s="23"/>
      <c r="Q54" s="23"/>
      <c r="R54" s="23"/>
      <c r="S54" s="23"/>
      <c r="T54" s="24"/>
      <c r="U54" s="22"/>
      <c r="V54" s="23"/>
      <c r="W54" s="23"/>
      <c r="X54" s="23"/>
      <c r="Y54" s="23"/>
      <c r="Z54" s="23"/>
      <c r="AA54" s="23"/>
      <c r="AB54" s="23"/>
      <c r="AC54" s="23"/>
      <c r="AD54" s="24"/>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row>
    <row r="55" spans="1:54">
      <c r="A55" s="22"/>
      <c r="B55" s="6">
        <f t="shared" si="9"/>
        <v>0.39999999999999997</v>
      </c>
      <c r="C55" s="6">
        <f t="shared" si="7"/>
        <v>0.70038400000000001</v>
      </c>
      <c r="D55" s="6">
        <f t="shared" si="8"/>
        <v>0.59532640000000003</v>
      </c>
      <c r="E55" s="23"/>
      <c r="F55" s="23"/>
      <c r="G55" s="23"/>
      <c r="H55" s="23"/>
      <c r="I55" s="23"/>
      <c r="J55" s="24"/>
      <c r="K55" s="22"/>
      <c r="L55" s="23"/>
      <c r="M55" s="23"/>
      <c r="N55" s="23"/>
      <c r="O55" s="23"/>
      <c r="P55" s="23"/>
      <c r="Q55" s="23"/>
      <c r="R55" s="23"/>
      <c r="S55" s="23"/>
      <c r="T55" s="24"/>
      <c r="U55" s="22"/>
      <c r="V55" s="23"/>
      <c r="W55" s="23"/>
      <c r="X55" s="23"/>
      <c r="Y55" s="23"/>
      <c r="Z55" s="23"/>
      <c r="AA55" s="23"/>
      <c r="AB55" s="23"/>
      <c r="AC55" s="23"/>
      <c r="AD55" s="24"/>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row>
    <row r="56" spans="1:54">
      <c r="A56" s="22"/>
      <c r="B56" s="6">
        <f t="shared" si="9"/>
        <v>0.43999999999999995</v>
      </c>
      <c r="C56" s="6">
        <f t="shared" si="7"/>
        <v>0.73286118399999989</v>
      </c>
      <c r="D56" s="6">
        <f t="shared" si="8"/>
        <v>0.6229320063999999</v>
      </c>
      <c r="E56" s="23"/>
      <c r="F56" s="23"/>
      <c r="G56" s="23"/>
      <c r="H56" s="23"/>
      <c r="I56" s="23"/>
      <c r="J56" s="24"/>
      <c r="K56" s="22"/>
      <c r="L56" s="23"/>
      <c r="M56" s="23"/>
      <c r="N56" s="23"/>
      <c r="O56" s="23"/>
      <c r="P56" s="23"/>
      <c r="Q56" s="23"/>
      <c r="R56" s="23"/>
      <c r="S56" s="23"/>
      <c r="T56" s="24"/>
      <c r="U56" s="22"/>
      <c r="V56" s="23"/>
      <c r="W56" s="23"/>
      <c r="X56" s="23"/>
      <c r="Y56" s="23"/>
      <c r="Z56" s="23"/>
      <c r="AA56" s="23"/>
      <c r="AB56" s="23"/>
      <c r="AC56" s="23"/>
      <c r="AD56" s="24"/>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row>
    <row r="57" spans="1:54">
      <c r="A57" s="22"/>
      <c r="B57" s="6">
        <f t="shared" si="9"/>
        <v>0.47999999999999993</v>
      </c>
      <c r="C57" s="6">
        <f t="shared" si="7"/>
        <v>0.76092979199999999</v>
      </c>
      <c r="D57" s="6">
        <f t="shared" si="8"/>
        <v>0.64679032319999996</v>
      </c>
      <c r="E57" s="23"/>
      <c r="F57" s="23"/>
      <c r="G57" s="23"/>
      <c r="H57" s="23"/>
      <c r="I57" s="23"/>
      <c r="J57" s="24"/>
      <c r="K57" s="22"/>
      <c r="L57" s="23"/>
      <c r="M57" s="23"/>
      <c r="N57" s="23"/>
      <c r="O57" s="23"/>
      <c r="P57" s="23"/>
      <c r="Q57" s="23"/>
      <c r="R57" s="23"/>
      <c r="S57" s="23"/>
      <c r="T57" s="24"/>
      <c r="U57" s="22"/>
      <c r="V57" s="23"/>
      <c r="W57" s="23"/>
      <c r="X57" s="23"/>
      <c r="Y57" s="23"/>
      <c r="Z57" s="23"/>
      <c r="AA57" s="23"/>
      <c r="AB57" s="23"/>
      <c r="AC57" s="23"/>
      <c r="AD57" s="24"/>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row>
    <row r="58" spans="1:54">
      <c r="A58" s="22"/>
      <c r="B58" s="6">
        <f t="shared" si="9"/>
        <v>0.51999999999999991</v>
      </c>
      <c r="C58" s="6">
        <f t="shared" si="7"/>
        <v>0.78519500799999986</v>
      </c>
      <c r="D58" s="6">
        <f t="shared" si="8"/>
        <v>0.66741575679999987</v>
      </c>
      <c r="E58" s="23"/>
      <c r="F58" s="23"/>
      <c r="G58" s="23"/>
      <c r="H58" s="23"/>
      <c r="I58" s="23"/>
      <c r="J58" s="24"/>
      <c r="K58" s="22"/>
      <c r="L58" s="23"/>
      <c r="M58" s="23"/>
      <c r="N58" s="23"/>
      <c r="O58" s="23"/>
      <c r="P58" s="23"/>
      <c r="Q58" s="23"/>
      <c r="R58" s="23"/>
      <c r="S58" s="23"/>
      <c r="T58" s="24"/>
      <c r="U58" s="22"/>
      <c r="V58" s="23"/>
      <c r="W58" s="23"/>
      <c r="X58" s="23"/>
      <c r="Y58" s="23"/>
      <c r="Z58" s="23"/>
      <c r="AA58" s="23"/>
      <c r="AB58" s="23"/>
      <c r="AC58" s="23"/>
      <c r="AD58" s="24"/>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row>
    <row r="59" spans="1:54">
      <c r="A59" s="22"/>
      <c r="B59" s="6">
        <f t="shared" si="9"/>
        <v>0.55999999999999994</v>
      </c>
      <c r="C59" s="6">
        <f t="shared" si="7"/>
        <v>0.80626201600000003</v>
      </c>
      <c r="D59" s="6">
        <f t="shared" si="8"/>
        <v>0.68532271359999997</v>
      </c>
      <c r="E59" s="23"/>
      <c r="F59" s="23"/>
      <c r="G59" s="23"/>
      <c r="H59" s="23"/>
      <c r="I59" s="23"/>
      <c r="J59" s="24"/>
      <c r="K59" s="22"/>
      <c r="L59" s="23"/>
      <c r="M59" s="23"/>
      <c r="N59" s="23"/>
      <c r="O59" s="23"/>
      <c r="P59" s="23"/>
      <c r="Q59" s="23"/>
      <c r="R59" s="23"/>
      <c r="S59" s="23"/>
      <c r="T59" s="24"/>
      <c r="U59" s="22"/>
      <c r="V59" s="23"/>
      <c r="W59" s="23"/>
      <c r="X59" s="23"/>
      <c r="Y59" s="23"/>
      <c r="Z59" s="23"/>
      <c r="AA59" s="23"/>
      <c r="AB59" s="23"/>
      <c r="AC59" s="23"/>
      <c r="AD59" s="24"/>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row>
    <row r="60" spans="1:54">
      <c r="A60" s="22"/>
      <c r="B60" s="6">
        <f t="shared" si="9"/>
        <v>0.6</v>
      </c>
      <c r="C60" s="6">
        <f t="shared" si="7"/>
        <v>0.82473600000000014</v>
      </c>
      <c r="D60" s="6">
        <f t="shared" si="8"/>
        <v>0.70102560000000014</v>
      </c>
      <c r="E60" s="23"/>
      <c r="F60" s="23"/>
      <c r="G60" s="23"/>
      <c r="H60" s="23"/>
      <c r="I60" s="23"/>
      <c r="J60" s="24"/>
      <c r="K60" s="22"/>
      <c r="L60" s="23"/>
      <c r="M60" s="23"/>
      <c r="N60" s="23"/>
      <c r="O60" s="23"/>
      <c r="P60" s="23"/>
      <c r="Q60" s="23"/>
      <c r="R60" s="23"/>
      <c r="S60" s="23"/>
      <c r="T60" s="24"/>
      <c r="U60" s="22"/>
      <c r="V60" s="23"/>
      <c r="W60" s="23"/>
      <c r="X60" s="23"/>
      <c r="Y60" s="23"/>
      <c r="Z60" s="23"/>
      <c r="AA60" s="23"/>
      <c r="AB60" s="23"/>
      <c r="AC60" s="23"/>
      <c r="AD60" s="24"/>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row>
    <row r="61" spans="1:54">
      <c r="A61" s="22"/>
      <c r="B61" s="6">
        <f t="shared" si="9"/>
        <v>0.64</v>
      </c>
      <c r="C61" s="6">
        <f t="shared" si="7"/>
        <v>0.84122214399999984</v>
      </c>
      <c r="D61" s="6">
        <f t="shared" si="8"/>
        <v>0.71503882239999983</v>
      </c>
      <c r="E61" s="23"/>
      <c r="F61" s="23"/>
      <c r="G61" s="23"/>
      <c r="H61" s="23"/>
      <c r="I61" s="23"/>
      <c r="J61" s="24"/>
      <c r="K61" s="22"/>
      <c r="L61" s="23"/>
      <c r="M61" s="23"/>
      <c r="N61" s="23"/>
      <c r="O61" s="23"/>
      <c r="P61" s="23"/>
      <c r="Q61" s="23"/>
      <c r="R61" s="23"/>
      <c r="S61" s="23"/>
      <c r="T61" s="24"/>
      <c r="U61" s="22"/>
      <c r="V61" s="23"/>
      <c r="W61" s="23"/>
      <c r="X61" s="23"/>
      <c r="Y61" s="23"/>
      <c r="Z61" s="23"/>
      <c r="AA61" s="23"/>
      <c r="AB61" s="23"/>
      <c r="AC61" s="23"/>
      <c r="AD61" s="24"/>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row>
    <row r="62" spans="1:54">
      <c r="A62" s="22"/>
      <c r="B62" s="6">
        <f t="shared" si="9"/>
        <v>0.68</v>
      </c>
      <c r="C62" s="6">
        <f t="shared" si="7"/>
        <v>0.85632563199999989</v>
      </c>
      <c r="D62" s="6">
        <f t="shared" si="8"/>
        <v>0.72787678719999993</v>
      </c>
      <c r="E62" s="23"/>
      <c r="F62" s="23"/>
      <c r="G62" s="23"/>
      <c r="H62" s="23"/>
      <c r="I62" s="23"/>
      <c r="J62" s="24"/>
      <c r="K62" s="22"/>
      <c r="L62" s="23"/>
      <c r="M62" s="23"/>
      <c r="N62" s="23"/>
      <c r="O62" s="23"/>
      <c r="P62" s="23"/>
      <c r="Q62" s="23"/>
      <c r="R62" s="23"/>
      <c r="S62" s="23"/>
      <c r="T62" s="24"/>
      <c r="U62" s="22"/>
      <c r="V62" s="23"/>
      <c r="W62" s="23"/>
      <c r="X62" s="23"/>
      <c r="Y62" s="23"/>
      <c r="Z62" s="23"/>
      <c r="AA62" s="23"/>
      <c r="AB62" s="23"/>
      <c r="AC62" s="23"/>
      <c r="AD62" s="24"/>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row>
    <row r="63" spans="1:54">
      <c r="A63" s="22"/>
      <c r="B63" s="6">
        <f t="shared" si="9"/>
        <v>0.72000000000000008</v>
      </c>
      <c r="C63" s="6">
        <f t="shared" si="7"/>
        <v>0.87065164800000039</v>
      </c>
      <c r="D63" s="6">
        <f t="shared" si="8"/>
        <v>0.74005390080000033</v>
      </c>
      <c r="E63" s="23"/>
      <c r="F63" s="23"/>
      <c r="G63" s="23"/>
      <c r="H63" s="23"/>
      <c r="I63" s="23"/>
      <c r="J63" s="24"/>
      <c r="K63" s="22"/>
      <c r="L63" s="23"/>
      <c r="M63" s="23"/>
      <c r="N63" s="23"/>
      <c r="O63" s="23"/>
      <c r="P63" s="23"/>
      <c r="Q63" s="23"/>
      <c r="R63" s="23"/>
      <c r="S63" s="23"/>
      <c r="T63" s="24"/>
      <c r="U63" s="22"/>
      <c r="V63" s="23"/>
      <c r="W63" s="23"/>
      <c r="X63" s="23"/>
      <c r="Y63" s="23"/>
      <c r="Z63" s="23"/>
      <c r="AA63" s="23"/>
      <c r="AB63" s="23"/>
      <c r="AC63" s="23"/>
      <c r="AD63" s="24"/>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row>
    <row r="64" spans="1:54">
      <c r="A64" s="22"/>
      <c r="B64" s="6">
        <f t="shared" si="9"/>
        <v>0.76000000000000012</v>
      </c>
      <c r="C64" s="6">
        <f t="shared" si="7"/>
        <v>0.88480537599999987</v>
      </c>
      <c r="D64" s="6">
        <f t="shared" si="8"/>
        <v>0.75208456959999992</v>
      </c>
      <c r="E64" s="23"/>
      <c r="F64" s="23"/>
      <c r="G64" s="23"/>
      <c r="H64" s="23"/>
      <c r="I64" s="23"/>
      <c r="J64" s="24"/>
      <c r="K64" s="22"/>
      <c r="L64" s="23" t="s">
        <v>303</v>
      </c>
      <c r="M64" s="23"/>
      <c r="N64" s="23"/>
      <c r="O64" s="23"/>
      <c r="P64" s="23"/>
      <c r="Q64" s="23"/>
      <c r="R64" s="23"/>
      <c r="S64" s="23"/>
      <c r="T64" s="24"/>
      <c r="U64" s="22"/>
      <c r="V64" s="23"/>
      <c r="W64" s="23"/>
      <c r="X64" s="23"/>
      <c r="Y64" s="23"/>
      <c r="Z64" s="23"/>
      <c r="AA64" s="23"/>
      <c r="AB64" s="23"/>
      <c r="AC64" s="23"/>
      <c r="AD64" s="24"/>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row>
    <row r="65" spans="1:54">
      <c r="A65" s="22"/>
      <c r="B65" s="6">
        <f t="shared" si="9"/>
        <v>0.80000000000000016</v>
      </c>
      <c r="C65" s="6">
        <f t="shared" si="7"/>
        <v>0.89939200000000019</v>
      </c>
      <c r="D65" s="6">
        <f t="shared" si="8"/>
        <v>0.76448320000000014</v>
      </c>
      <c r="E65" s="23"/>
      <c r="F65" s="23"/>
      <c r="G65" s="23"/>
      <c r="H65" s="23"/>
      <c r="I65" s="23"/>
      <c r="J65" s="24"/>
      <c r="K65" s="22"/>
      <c r="L65" s="23" t="s">
        <v>304</v>
      </c>
      <c r="M65" s="23"/>
      <c r="N65" s="23"/>
      <c r="O65" s="23"/>
      <c r="P65" s="23"/>
      <c r="Q65" s="23"/>
      <c r="R65" s="23"/>
      <c r="S65" s="23"/>
      <c r="T65" s="24"/>
      <c r="U65" s="22"/>
      <c r="V65" s="23"/>
      <c r="W65" s="23"/>
      <c r="X65" s="23"/>
      <c r="Y65" s="23"/>
      <c r="Z65" s="23"/>
      <c r="AA65" s="23"/>
      <c r="AB65" s="23"/>
      <c r="AC65" s="23"/>
      <c r="AD65" s="24"/>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row>
    <row r="66" spans="1:54">
      <c r="A66" s="22"/>
      <c r="B66" s="6">
        <f t="shared" si="9"/>
        <v>0.84000000000000019</v>
      </c>
      <c r="C66" s="6">
        <f t="shared" si="7"/>
        <v>0.91501670400000057</v>
      </c>
      <c r="D66" s="6">
        <f t="shared" si="8"/>
        <v>0.77776419840000044</v>
      </c>
      <c r="E66" s="23"/>
      <c r="F66" s="23"/>
      <c r="G66" s="23"/>
      <c r="H66" s="23"/>
      <c r="I66" s="23"/>
      <c r="J66" s="24"/>
      <c r="K66" s="22"/>
      <c r="L66" s="23"/>
      <c r="M66" s="23"/>
      <c r="N66" s="23"/>
      <c r="O66" s="23"/>
      <c r="P66" s="23"/>
      <c r="Q66" s="23"/>
      <c r="R66" s="23"/>
      <c r="S66" s="23"/>
      <c r="T66" s="24"/>
      <c r="U66" s="22"/>
      <c r="V66" s="23"/>
      <c r="W66" s="23"/>
      <c r="X66" s="23"/>
      <c r="Y66" s="23"/>
      <c r="Z66" s="23"/>
      <c r="AA66" s="23"/>
      <c r="AB66" s="23"/>
      <c r="AC66" s="23"/>
      <c r="AD66" s="24"/>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row>
    <row r="67" spans="1:54">
      <c r="A67" s="22"/>
      <c r="B67" s="6">
        <f t="shared" si="9"/>
        <v>0.88000000000000023</v>
      </c>
      <c r="C67" s="6">
        <f t="shared" si="7"/>
        <v>0.93228467199999976</v>
      </c>
      <c r="D67" s="6">
        <f t="shared" si="8"/>
        <v>0.79244197119999982</v>
      </c>
      <c r="E67" s="23"/>
      <c r="F67" s="23"/>
      <c r="G67" s="23"/>
      <c r="H67" s="23"/>
      <c r="I67" s="23"/>
      <c r="J67" s="24"/>
      <c r="K67" s="22"/>
      <c r="L67" s="23"/>
      <c r="M67" s="23"/>
      <c r="N67" s="23"/>
      <c r="O67" s="23"/>
      <c r="P67" s="23"/>
      <c r="Q67" s="23"/>
      <c r="R67" s="23"/>
      <c r="S67" s="23"/>
      <c r="T67" s="24"/>
      <c r="U67" s="22"/>
      <c r="V67" s="23"/>
      <c r="W67" s="23"/>
      <c r="X67" s="23"/>
      <c r="Y67" s="23"/>
      <c r="Z67" s="23"/>
      <c r="AA67" s="23"/>
      <c r="AB67" s="23"/>
      <c r="AC67" s="23"/>
      <c r="AD67" s="24"/>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row>
    <row r="68" spans="1:54">
      <c r="A68" s="22"/>
      <c r="B68" s="6">
        <f t="shared" si="9"/>
        <v>0.92000000000000026</v>
      </c>
      <c r="C68" s="6">
        <f t="shared" si="7"/>
        <v>0.95180108800000007</v>
      </c>
      <c r="D68" s="6">
        <f t="shared" si="8"/>
        <v>0.80903092480000005</v>
      </c>
      <c r="E68" s="23"/>
      <c r="F68" s="23"/>
      <c r="G68" s="23"/>
      <c r="H68" s="23"/>
      <c r="I68" s="23"/>
      <c r="J68" s="24"/>
      <c r="K68" s="22"/>
      <c r="L68" s="23"/>
      <c r="M68" s="23"/>
      <c r="N68" s="23"/>
      <c r="O68" s="23"/>
      <c r="P68" s="23"/>
      <c r="Q68" s="23"/>
      <c r="R68" s="23"/>
      <c r="S68" s="23"/>
      <c r="T68" s="24"/>
      <c r="U68" s="22"/>
      <c r="V68" s="23"/>
      <c r="W68" s="23"/>
      <c r="X68" s="23"/>
      <c r="Y68" s="23"/>
      <c r="Z68" s="23"/>
      <c r="AA68" s="23"/>
      <c r="AB68" s="23"/>
      <c r="AC68" s="23"/>
      <c r="AD68" s="24"/>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row>
    <row r="69" spans="1:54">
      <c r="A69" s="22"/>
      <c r="B69" s="6">
        <f t="shared" si="9"/>
        <v>0.9600000000000003</v>
      </c>
      <c r="C69" s="6">
        <f t="shared" si="7"/>
        <v>0.97417113600000027</v>
      </c>
      <c r="D69" s="6">
        <f t="shared" si="8"/>
        <v>0.82804546560000025</v>
      </c>
      <c r="E69" s="23"/>
      <c r="F69" s="23"/>
      <c r="G69" s="23"/>
      <c r="H69" s="23"/>
      <c r="I69" s="23"/>
      <c r="J69" s="24"/>
      <c r="K69" s="22"/>
      <c r="L69" s="23"/>
      <c r="M69" s="23"/>
      <c r="N69" s="23"/>
      <c r="O69" s="23"/>
      <c r="P69" s="23"/>
      <c r="Q69" s="23"/>
      <c r="R69" s="23"/>
      <c r="S69" s="23"/>
      <c r="T69" s="24"/>
      <c r="U69" s="22"/>
      <c r="V69" s="23"/>
      <c r="W69" s="23"/>
      <c r="X69" s="23"/>
      <c r="Y69" s="23"/>
      <c r="Z69" s="23"/>
      <c r="AA69" s="23"/>
      <c r="AB69" s="23"/>
      <c r="AC69" s="23"/>
      <c r="AD69" s="24"/>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row>
    <row r="70" spans="1:54">
      <c r="A70" s="22"/>
      <c r="B70" s="45">
        <f t="shared" si="9"/>
        <v>1.0000000000000002</v>
      </c>
      <c r="C70" s="45">
        <f t="shared" si="7"/>
        <v>1.0000000000000002</v>
      </c>
      <c r="D70" s="45">
        <f t="shared" si="8"/>
        <v>0.8500000000000002</v>
      </c>
      <c r="E70" s="23"/>
      <c r="F70" s="23"/>
      <c r="G70" s="23"/>
      <c r="H70" s="23"/>
      <c r="I70" s="23"/>
      <c r="J70" s="24"/>
      <c r="K70" s="22"/>
      <c r="L70" s="23"/>
      <c r="M70" s="23"/>
      <c r="N70" s="23"/>
      <c r="O70" s="23"/>
      <c r="P70" s="23"/>
      <c r="Q70" s="23"/>
      <c r="R70" s="23"/>
      <c r="S70" s="23"/>
      <c r="T70" s="24"/>
      <c r="U70" s="22"/>
      <c r="V70" s="23"/>
      <c r="W70" s="23"/>
      <c r="X70" s="23"/>
      <c r="Y70" s="23"/>
      <c r="Z70" s="23"/>
      <c r="AA70" s="23"/>
      <c r="AB70" s="23"/>
      <c r="AC70" s="23"/>
      <c r="AD70" s="24"/>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row>
    <row r="71" spans="1:54">
      <c r="A71" s="22"/>
      <c r="B71" s="23"/>
      <c r="C71" s="23"/>
      <c r="D71" s="23"/>
      <c r="E71" s="23"/>
      <c r="F71" s="23"/>
      <c r="G71" s="23"/>
      <c r="H71" s="23"/>
      <c r="I71" s="23"/>
      <c r="J71" s="24"/>
      <c r="K71" s="22"/>
      <c r="L71" s="23"/>
      <c r="M71" s="23"/>
      <c r="N71" s="23"/>
      <c r="O71" s="23"/>
      <c r="P71" s="23"/>
      <c r="Q71" s="23"/>
      <c r="R71" s="23"/>
      <c r="S71" s="23"/>
      <c r="T71" s="24"/>
      <c r="U71" s="22"/>
      <c r="V71" s="23"/>
      <c r="W71" s="23"/>
      <c r="X71" s="23"/>
      <c r="Y71" s="23"/>
      <c r="Z71" s="23"/>
      <c r="AA71" s="23"/>
      <c r="AB71" s="23"/>
      <c r="AC71" s="23"/>
      <c r="AD71" s="24"/>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row>
    <row r="72" spans="1:54">
      <c r="A72" s="22"/>
      <c r="B72" s="23"/>
      <c r="C72" s="23"/>
      <c r="D72" s="23"/>
      <c r="E72" s="23"/>
      <c r="F72" s="23"/>
      <c r="G72" s="23"/>
      <c r="H72" s="23"/>
      <c r="I72" s="23"/>
      <c r="J72" s="24"/>
      <c r="K72" s="22"/>
      <c r="L72" s="23"/>
      <c r="M72" s="23"/>
      <c r="N72" s="23"/>
      <c r="O72" s="23"/>
      <c r="P72" s="23"/>
      <c r="Q72" s="23"/>
      <c r="R72" s="23"/>
      <c r="S72" s="23"/>
      <c r="T72" s="24"/>
      <c r="U72" s="22"/>
      <c r="V72" s="23"/>
      <c r="W72" s="23"/>
      <c r="X72" s="23"/>
      <c r="Y72" s="23"/>
      <c r="Z72" s="23"/>
      <c r="AA72" s="23"/>
      <c r="AB72" s="23"/>
      <c r="AC72" s="23"/>
      <c r="AD72" s="24"/>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row>
    <row r="73" spans="1:54">
      <c r="A73" s="22"/>
      <c r="B73" s="23"/>
      <c r="C73" s="23"/>
      <c r="D73" s="23"/>
      <c r="E73" s="23"/>
      <c r="F73" s="23"/>
      <c r="G73" s="23"/>
      <c r="H73" s="23"/>
      <c r="I73" s="23"/>
      <c r="J73" s="24"/>
      <c r="K73" s="22"/>
      <c r="L73" s="23"/>
      <c r="M73" s="23"/>
      <c r="N73" s="23"/>
      <c r="O73" s="23"/>
      <c r="P73" s="23"/>
      <c r="Q73" s="23"/>
      <c r="R73" s="23"/>
      <c r="S73" s="23"/>
      <c r="T73" s="24"/>
      <c r="U73" s="22"/>
      <c r="V73" s="23"/>
      <c r="W73" s="23"/>
      <c r="X73" s="23"/>
      <c r="Y73" s="23"/>
      <c r="Z73" s="23"/>
      <c r="AA73" s="23"/>
      <c r="AB73" s="23"/>
      <c r="AC73" s="23"/>
      <c r="AD73" s="24"/>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row>
    <row r="74" spans="1:54">
      <c r="A74" s="22"/>
      <c r="B74" s="23"/>
      <c r="C74" s="23"/>
      <c r="D74" s="23"/>
      <c r="E74" s="23"/>
      <c r="F74" s="23"/>
      <c r="G74" s="23"/>
      <c r="H74" s="23"/>
      <c r="I74" s="23"/>
      <c r="J74" s="24"/>
      <c r="K74" s="22"/>
      <c r="L74" s="23"/>
      <c r="M74" s="23"/>
      <c r="N74" s="23"/>
      <c r="O74" s="23"/>
      <c r="P74" s="23"/>
      <c r="Q74" s="23"/>
      <c r="R74" s="23"/>
      <c r="S74" s="23"/>
      <c r="T74" s="24"/>
      <c r="U74" s="22"/>
      <c r="V74" s="23"/>
      <c r="W74" s="23"/>
      <c r="X74" s="23"/>
      <c r="Y74" s="23"/>
      <c r="Z74" s="23"/>
      <c r="AA74" s="23"/>
      <c r="AB74" s="23"/>
      <c r="AC74" s="23"/>
      <c r="AD74" s="24"/>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row>
    <row r="75" spans="1:54">
      <c r="A75" s="22"/>
      <c r="B75" s="23"/>
      <c r="C75" s="23"/>
      <c r="D75" s="23"/>
      <c r="E75" s="23"/>
      <c r="F75" s="23"/>
      <c r="G75" s="23"/>
      <c r="H75" s="23"/>
      <c r="I75" s="23"/>
      <c r="J75" s="24"/>
      <c r="K75" s="22"/>
      <c r="L75" s="23"/>
      <c r="M75" s="23"/>
      <c r="N75" s="23"/>
      <c r="O75" s="23"/>
      <c r="P75" s="23"/>
      <c r="Q75" s="23"/>
      <c r="R75" s="23"/>
      <c r="S75" s="23"/>
      <c r="T75" s="24"/>
      <c r="U75" s="22"/>
      <c r="V75" s="23"/>
      <c r="W75" s="23"/>
      <c r="X75" s="23"/>
      <c r="Y75" s="23"/>
      <c r="Z75" s="23"/>
      <c r="AA75" s="23"/>
      <c r="AB75" s="23"/>
      <c r="AC75" s="23"/>
      <c r="AD75" s="24"/>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row>
    <row r="76" spans="1:54">
      <c r="A76" s="22"/>
      <c r="B76" s="23"/>
      <c r="C76" s="23"/>
      <c r="D76" s="23"/>
      <c r="E76" s="23"/>
      <c r="F76" s="23"/>
      <c r="G76" s="23"/>
      <c r="H76" s="23"/>
      <c r="I76" s="23"/>
      <c r="J76" s="24"/>
      <c r="K76" s="22"/>
      <c r="L76" s="23"/>
      <c r="M76" s="23"/>
      <c r="N76" s="23"/>
      <c r="O76" s="23"/>
      <c r="P76" s="23"/>
      <c r="Q76" s="23"/>
      <c r="R76" s="23"/>
      <c r="S76" s="23"/>
      <c r="T76" s="24"/>
      <c r="U76" s="22"/>
      <c r="V76" s="23"/>
      <c r="W76" s="23"/>
      <c r="X76" s="23"/>
      <c r="Y76" s="23"/>
      <c r="Z76" s="23"/>
      <c r="AA76" s="23"/>
      <c r="AB76" s="23"/>
      <c r="AC76" s="23"/>
      <c r="AD76" s="24"/>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row>
    <row r="77" spans="1:54">
      <c r="A77" s="22"/>
      <c r="B77" s="23"/>
      <c r="C77" s="23"/>
      <c r="D77" s="23"/>
      <c r="E77" s="23"/>
      <c r="F77" s="23"/>
      <c r="G77" s="23"/>
      <c r="H77" s="23"/>
      <c r="I77" s="23"/>
      <c r="J77" s="24"/>
      <c r="K77" s="22"/>
      <c r="L77" s="23"/>
      <c r="M77" s="23"/>
      <c r="N77" s="23"/>
      <c r="O77" s="23"/>
      <c r="P77" s="23"/>
      <c r="Q77" s="23"/>
      <c r="R77" s="23"/>
      <c r="S77" s="23"/>
      <c r="T77" s="24"/>
      <c r="U77" s="22"/>
      <c r="V77" s="23"/>
      <c r="W77" s="23"/>
      <c r="X77" s="23"/>
      <c r="Y77" s="23"/>
      <c r="Z77" s="23"/>
      <c r="AA77" s="23"/>
      <c r="AB77" s="23"/>
      <c r="AC77" s="23"/>
      <c r="AD77" s="24"/>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row>
    <row r="78" spans="1:54">
      <c r="A78" s="22"/>
      <c r="B78" s="23"/>
      <c r="C78" s="23"/>
      <c r="D78" s="23"/>
      <c r="E78" s="23"/>
      <c r="F78" s="23"/>
      <c r="G78" s="23"/>
      <c r="H78" s="23"/>
      <c r="I78" s="23"/>
      <c r="J78" s="24"/>
      <c r="K78" s="22"/>
      <c r="L78" s="23"/>
      <c r="M78" s="23"/>
      <c r="N78" s="23"/>
      <c r="O78" s="23"/>
      <c r="P78" s="23"/>
      <c r="Q78" s="23"/>
      <c r="R78" s="23"/>
      <c r="S78" s="23"/>
      <c r="T78" s="24"/>
      <c r="U78" s="22"/>
      <c r="V78" s="23"/>
      <c r="W78" s="23"/>
      <c r="X78" s="23"/>
      <c r="Y78" s="23"/>
      <c r="Z78" s="23"/>
      <c r="AA78" s="23"/>
      <c r="AB78" s="23"/>
      <c r="AC78" s="23"/>
      <c r="AD78" s="24"/>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row>
    <row r="79" spans="1:54">
      <c r="A79" s="22"/>
      <c r="B79" s="23"/>
      <c r="C79" s="23"/>
      <c r="D79" s="23"/>
      <c r="E79" s="23"/>
      <c r="F79" s="23"/>
      <c r="G79" s="23"/>
      <c r="H79" s="23"/>
      <c r="I79" s="23"/>
      <c r="J79" s="24"/>
      <c r="K79" s="22"/>
      <c r="L79" s="23"/>
      <c r="M79" s="23"/>
      <c r="N79" s="23"/>
      <c r="O79" s="23"/>
      <c r="P79" s="23"/>
      <c r="Q79" s="23"/>
      <c r="R79" s="23"/>
      <c r="S79" s="23"/>
      <c r="T79" s="24"/>
      <c r="U79" s="22"/>
      <c r="V79" s="23"/>
      <c r="W79" s="23"/>
      <c r="X79" s="23"/>
      <c r="Y79" s="23"/>
      <c r="Z79" s="23"/>
      <c r="AA79" s="23"/>
      <c r="AB79" s="23"/>
      <c r="AC79" s="23"/>
      <c r="AD79" s="24"/>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row>
    <row r="80" spans="1:54" ht="19.5" thickBot="1">
      <c r="A80" s="39"/>
      <c r="B80" s="40"/>
      <c r="C80" s="40"/>
      <c r="D80" s="40"/>
      <c r="E80" s="40"/>
      <c r="F80" s="40"/>
      <c r="G80" s="40"/>
      <c r="H80" s="40"/>
      <c r="I80" s="40"/>
      <c r="J80" s="41"/>
      <c r="K80" s="39"/>
      <c r="L80" s="40"/>
      <c r="M80" s="40"/>
      <c r="N80" s="40"/>
      <c r="O80" s="40"/>
      <c r="P80" s="40"/>
      <c r="Q80" s="40"/>
      <c r="R80" s="40"/>
      <c r="S80" s="40"/>
      <c r="T80" s="41"/>
      <c r="U80" s="39"/>
      <c r="V80" s="40"/>
      <c r="W80" s="40"/>
      <c r="X80" s="40"/>
      <c r="Y80" s="40"/>
      <c r="Z80" s="40"/>
      <c r="AA80" s="40"/>
      <c r="AB80" s="40"/>
      <c r="AC80" s="40"/>
      <c r="AD80" s="41"/>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row>
  </sheetData>
  <mergeCells count="1">
    <mergeCell ref="S42:T42"/>
  </mergeCells>
  <phoneticPr fontId="2"/>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D7EEB-D4BB-4F93-B372-65A9982C3648}">
  <sheetPr codeName="Sheet1">
    <tabColor theme="2" tint="-0.249977111117893"/>
  </sheetPr>
  <dimension ref="B2:AC107"/>
  <sheetViews>
    <sheetView zoomScaleNormal="100" workbookViewId="0">
      <selection activeCell="Z8" sqref="Z8"/>
    </sheetView>
  </sheetViews>
  <sheetFormatPr defaultRowHeight="18.75"/>
  <sheetData>
    <row r="2" spans="2:29">
      <c r="B2" s="1"/>
      <c r="C2" s="2" t="s">
        <v>0</v>
      </c>
      <c r="D2" s="2" t="s">
        <v>1</v>
      </c>
      <c r="E2" s="2" t="s">
        <v>2</v>
      </c>
      <c r="F2" s="3"/>
      <c r="G2" s="3"/>
      <c r="H2" s="3"/>
      <c r="I2" s="3"/>
      <c r="L2" s="3"/>
      <c r="M2" s="3"/>
      <c r="N2" s="3"/>
      <c r="O2" s="3"/>
      <c r="P2" s="3"/>
      <c r="Q2" s="3"/>
      <c r="R2" s="3"/>
      <c r="S2" s="3"/>
      <c r="T2" s="3"/>
    </row>
    <row r="3" spans="2:29">
      <c r="B3" s="4"/>
      <c r="C3" s="297" t="s">
        <v>3</v>
      </c>
      <c r="D3" s="297"/>
      <c r="E3" s="297"/>
      <c r="F3" s="5">
        <v>2026</v>
      </c>
      <c r="G3" s="5">
        <v>2025</v>
      </c>
      <c r="H3" s="5">
        <v>2024</v>
      </c>
      <c r="I3" s="5">
        <v>2023</v>
      </c>
      <c r="J3" s="5">
        <v>2022</v>
      </c>
      <c r="K3" s="5">
        <v>2021</v>
      </c>
      <c r="L3" s="5">
        <v>2020</v>
      </c>
      <c r="M3" s="5">
        <v>2019</v>
      </c>
      <c r="N3" s="5">
        <v>2018</v>
      </c>
      <c r="O3" s="5">
        <v>2017</v>
      </c>
      <c r="P3" s="5">
        <v>2016</v>
      </c>
      <c r="Q3" s="5">
        <v>2015</v>
      </c>
      <c r="R3" s="5">
        <v>2014</v>
      </c>
      <c r="S3" s="5">
        <v>2013</v>
      </c>
      <c r="T3" s="5">
        <v>2012</v>
      </c>
      <c r="U3" s="5">
        <v>2011</v>
      </c>
      <c r="V3" s="5">
        <v>2010</v>
      </c>
      <c r="W3" s="5">
        <v>2009</v>
      </c>
      <c r="X3" s="5">
        <v>2008</v>
      </c>
      <c r="Y3" s="5">
        <v>2007</v>
      </c>
      <c r="Z3" s="5">
        <v>2006</v>
      </c>
      <c r="AA3" s="5">
        <v>2005</v>
      </c>
      <c r="AB3" s="5">
        <v>2004</v>
      </c>
      <c r="AC3" s="5">
        <v>2003</v>
      </c>
    </row>
    <row r="4" spans="2:29">
      <c r="B4" s="1"/>
      <c r="C4" s="298" t="s">
        <v>4</v>
      </c>
      <c r="D4" s="298"/>
      <c r="E4" s="298"/>
      <c r="F4" s="6" t="s">
        <v>253</v>
      </c>
      <c r="G4" s="6" t="s">
        <v>244</v>
      </c>
      <c r="H4" s="6" t="s">
        <v>5</v>
      </c>
      <c r="I4" s="6" t="s">
        <v>6</v>
      </c>
      <c r="J4" s="7" t="s">
        <v>7</v>
      </c>
      <c r="K4" s="7" t="s">
        <v>8</v>
      </c>
      <c r="L4" s="7" t="s">
        <v>9</v>
      </c>
      <c r="M4" s="7" t="s">
        <v>10</v>
      </c>
      <c r="N4" s="7" t="s">
        <v>11</v>
      </c>
      <c r="O4" s="7" t="s">
        <v>12</v>
      </c>
      <c r="P4" s="7" t="s">
        <v>13</v>
      </c>
      <c r="Q4" s="7" t="s">
        <v>14</v>
      </c>
      <c r="R4" s="7" t="s">
        <v>15</v>
      </c>
      <c r="S4" s="7" t="s">
        <v>16</v>
      </c>
      <c r="T4" s="7" t="s">
        <v>17</v>
      </c>
      <c r="U4" s="7" t="s">
        <v>18</v>
      </c>
      <c r="V4" s="7" t="s">
        <v>19</v>
      </c>
      <c r="W4" s="7" t="s">
        <v>20</v>
      </c>
      <c r="X4" s="7" t="s">
        <v>21</v>
      </c>
      <c r="Y4" s="7" t="s">
        <v>22</v>
      </c>
      <c r="Z4" s="7" t="s">
        <v>23</v>
      </c>
      <c r="AA4" s="7" t="s">
        <v>24</v>
      </c>
      <c r="AB4" s="7" t="s">
        <v>25</v>
      </c>
      <c r="AC4" s="7" t="s">
        <v>26</v>
      </c>
    </row>
    <row r="5" spans="2:29">
      <c r="B5" s="1"/>
      <c r="C5" s="298" t="s">
        <v>27</v>
      </c>
      <c r="D5" s="298"/>
      <c r="E5" s="298"/>
      <c r="F5" s="6" t="s">
        <v>245</v>
      </c>
      <c r="G5" s="6" t="s">
        <v>245</v>
      </c>
      <c r="H5" s="6" t="s">
        <v>246</v>
      </c>
      <c r="I5" s="6" t="s">
        <v>28</v>
      </c>
      <c r="J5" s="7" t="s">
        <v>29</v>
      </c>
      <c r="K5" s="7" t="s">
        <v>30</v>
      </c>
      <c r="L5" s="7" t="s">
        <v>31</v>
      </c>
      <c r="M5" s="7" t="s">
        <v>32</v>
      </c>
      <c r="N5" s="7" t="s">
        <v>32</v>
      </c>
      <c r="O5" s="7" t="s">
        <v>33</v>
      </c>
      <c r="P5" s="7" t="s">
        <v>33</v>
      </c>
      <c r="Q5" s="7" t="s">
        <v>34</v>
      </c>
      <c r="R5" s="7" t="s">
        <v>34</v>
      </c>
      <c r="S5" s="7" t="s">
        <v>34</v>
      </c>
      <c r="T5" s="7" t="s">
        <v>35</v>
      </c>
      <c r="U5" s="7" t="s">
        <v>35</v>
      </c>
      <c r="V5" s="7" t="s">
        <v>35</v>
      </c>
      <c r="W5" s="7" t="s">
        <v>35</v>
      </c>
      <c r="X5" s="7" t="s">
        <v>36</v>
      </c>
      <c r="Y5" s="7" t="s">
        <v>37</v>
      </c>
      <c r="Z5" s="7" t="s">
        <v>37</v>
      </c>
      <c r="AA5" s="7" t="s">
        <v>37</v>
      </c>
      <c r="AB5" s="7" t="s">
        <v>38</v>
      </c>
      <c r="AC5" s="7" t="s">
        <v>38</v>
      </c>
    </row>
    <row r="6" spans="2:29">
      <c r="B6" s="1"/>
      <c r="C6" s="298" t="s">
        <v>39</v>
      </c>
      <c r="D6" s="298"/>
      <c r="E6" s="298"/>
      <c r="F6" s="6" t="s">
        <v>254</v>
      </c>
      <c r="G6" s="6" t="s">
        <v>247</v>
      </c>
      <c r="H6" s="6" t="s">
        <v>248</v>
      </c>
      <c r="I6" s="6" t="s">
        <v>40</v>
      </c>
      <c r="J6" s="7" t="s">
        <v>41</v>
      </c>
      <c r="K6" s="7" t="s">
        <v>42</v>
      </c>
      <c r="L6" s="7" t="s">
        <v>43</v>
      </c>
      <c r="M6" s="7" t="s">
        <v>44</v>
      </c>
      <c r="N6" s="7" t="s">
        <v>45</v>
      </c>
      <c r="O6" s="7" t="s">
        <v>46</v>
      </c>
      <c r="P6" s="7" t="s">
        <v>47</v>
      </c>
      <c r="Q6" s="7" t="s">
        <v>48</v>
      </c>
      <c r="R6" s="7" t="s">
        <v>49</v>
      </c>
      <c r="S6" s="7" t="s">
        <v>50</v>
      </c>
      <c r="T6" s="7" t="s">
        <v>51</v>
      </c>
      <c r="U6" s="7" t="s">
        <v>52</v>
      </c>
      <c r="V6" s="7" t="s">
        <v>53</v>
      </c>
      <c r="W6" s="7" t="s">
        <v>54</v>
      </c>
      <c r="X6" s="7" t="s">
        <v>55</v>
      </c>
      <c r="Y6" s="7" t="s">
        <v>56</v>
      </c>
      <c r="Z6" s="7" t="s">
        <v>57</v>
      </c>
      <c r="AA6" s="7" t="s">
        <v>58</v>
      </c>
      <c r="AB6" s="7" t="s">
        <v>59</v>
      </c>
      <c r="AC6" s="7" t="s">
        <v>60</v>
      </c>
    </row>
    <row r="7" spans="2:29">
      <c r="B7" s="1"/>
      <c r="C7" s="298" t="s">
        <v>61</v>
      </c>
      <c r="D7" s="298"/>
      <c r="E7" s="298"/>
      <c r="F7" s="6" t="s">
        <v>255</v>
      </c>
      <c r="G7" s="6" t="s">
        <v>249</v>
      </c>
      <c r="H7" s="6" t="s">
        <v>250</v>
      </c>
      <c r="I7" s="6" t="s">
        <v>62</v>
      </c>
      <c r="J7" s="7" t="s">
        <v>42</v>
      </c>
      <c r="K7" s="7" t="s">
        <v>43</v>
      </c>
      <c r="L7" s="7" t="s">
        <v>63</v>
      </c>
      <c r="M7" s="7" t="s">
        <v>64</v>
      </c>
      <c r="N7" s="7" t="s">
        <v>65</v>
      </c>
      <c r="O7" s="7" t="s">
        <v>66</v>
      </c>
      <c r="P7" s="7" t="s">
        <v>48</v>
      </c>
      <c r="Q7" s="7" t="s">
        <v>67</v>
      </c>
      <c r="R7" s="7" t="s">
        <v>50</v>
      </c>
      <c r="S7" s="7" t="s">
        <v>68</v>
      </c>
      <c r="T7" s="7" t="s">
        <v>69</v>
      </c>
      <c r="U7" s="7" t="s">
        <v>69</v>
      </c>
      <c r="V7" s="7" t="s">
        <v>70</v>
      </c>
      <c r="W7" s="7" t="s">
        <v>54</v>
      </c>
      <c r="X7" s="7" t="s">
        <v>37</v>
      </c>
      <c r="Y7" s="7" t="s">
        <v>56</v>
      </c>
      <c r="Z7" s="7" t="s">
        <v>57</v>
      </c>
      <c r="AA7" s="7" t="s">
        <v>58</v>
      </c>
      <c r="AB7" s="7" t="s">
        <v>59</v>
      </c>
      <c r="AC7" s="7" t="s">
        <v>60</v>
      </c>
    </row>
    <row r="8" spans="2:29">
      <c r="B8" s="1"/>
      <c r="C8" s="298" t="s">
        <v>71</v>
      </c>
      <c r="D8" s="298"/>
      <c r="E8" s="298"/>
      <c r="F8" s="6"/>
      <c r="G8" s="6"/>
      <c r="H8" s="6">
        <v>414.62</v>
      </c>
      <c r="I8" s="6">
        <v>14.72</v>
      </c>
      <c r="J8" s="7">
        <v>91.55</v>
      </c>
      <c r="K8" s="7">
        <v>161.54</v>
      </c>
      <c r="L8" s="7" t="s">
        <v>72</v>
      </c>
      <c r="M8" s="7">
        <v>317.57</v>
      </c>
      <c r="N8" s="7">
        <v>127.75</v>
      </c>
      <c r="O8" s="7">
        <v>352.44</v>
      </c>
      <c r="P8" s="7">
        <v>332.91</v>
      </c>
      <c r="Q8" s="7">
        <v>373.75</v>
      </c>
      <c r="R8" s="7">
        <v>350.77</v>
      </c>
      <c r="S8" s="7">
        <v>390.73</v>
      </c>
      <c r="T8" s="7">
        <v>369.38</v>
      </c>
      <c r="U8" s="7">
        <v>27.18</v>
      </c>
      <c r="V8" s="7">
        <v>371.8</v>
      </c>
      <c r="W8" s="7" t="s">
        <v>73</v>
      </c>
      <c r="X8" s="7">
        <v>341.14</v>
      </c>
      <c r="Y8" s="7">
        <v>241.56</v>
      </c>
      <c r="Z8" s="7">
        <v>40.92</v>
      </c>
      <c r="AA8" s="7">
        <v>37.67</v>
      </c>
      <c r="AB8" s="7">
        <v>34.96</v>
      </c>
      <c r="AC8" s="7">
        <v>41.96</v>
      </c>
    </row>
    <row r="9" spans="2:29">
      <c r="B9" s="4"/>
      <c r="C9" s="297" t="s">
        <v>74</v>
      </c>
      <c r="D9" s="297"/>
      <c r="E9" s="297"/>
      <c r="F9" s="8"/>
      <c r="G9" s="8">
        <v>4</v>
      </c>
      <c r="H9" s="8">
        <v>3</v>
      </c>
      <c r="I9" s="8">
        <v>15</v>
      </c>
      <c r="J9" s="8">
        <v>9</v>
      </c>
      <c r="K9" s="8">
        <v>6</v>
      </c>
      <c r="L9" s="8" t="s">
        <v>75</v>
      </c>
      <c r="M9" s="8">
        <v>2</v>
      </c>
      <c r="N9" s="8">
        <v>5</v>
      </c>
      <c r="O9" s="8">
        <v>3</v>
      </c>
      <c r="P9" s="8">
        <v>3</v>
      </c>
      <c r="Q9" s="8">
        <v>1</v>
      </c>
      <c r="R9" s="8">
        <v>4</v>
      </c>
      <c r="S9" s="8">
        <v>2</v>
      </c>
      <c r="T9" s="8">
        <v>2</v>
      </c>
      <c r="U9" s="8">
        <v>15</v>
      </c>
      <c r="V9" s="8">
        <v>2</v>
      </c>
      <c r="W9" s="8" t="s">
        <v>76</v>
      </c>
      <c r="X9" s="8">
        <v>2</v>
      </c>
      <c r="Y9" s="8">
        <v>5</v>
      </c>
      <c r="Z9" s="8" t="s">
        <v>77</v>
      </c>
      <c r="AA9" s="8" t="s">
        <v>77</v>
      </c>
      <c r="AB9" s="8">
        <v>6</v>
      </c>
      <c r="AC9" s="8">
        <v>8</v>
      </c>
    </row>
    <row r="10" spans="2:29">
      <c r="B10" s="1"/>
      <c r="C10" s="7" t="s">
        <v>78</v>
      </c>
      <c r="D10" s="298" t="s">
        <v>79</v>
      </c>
      <c r="E10" s="298"/>
      <c r="F10" s="6" t="s">
        <v>252</v>
      </c>
      <c r="G10" s="6" t="s">
        <v>251</v>
      </c>
      <c r="H10" s="6" t="s">
        <v>252</v>
      </c>
      <c r="I10" s="6" t="s">
        <v>80</v>
      </c>
      <c r="J10" s="7" t="s">
        <v>80</v>
      </c>
      <c r="K10" s="7"/>
      <c r="L10" s="7"/>
      <c r="M10" s="7"/>
      <c r="N10" s="7" t="s">
        <v>81</v>
      </c>
      <c r="O10" s="7" t="s">
        <v>82</v>
      </c>
      <c r="P10" s="7" t="s">
        <v>82</v>
      </c>
      <c r="Q10" s="7" t="s">
        <v>82</v>
      </c>
      <c r="R10" s="7" t="s">
        <v>82</v>
      </c>
      <c r="S10" s="7" t="s">
        <v>82</v>
      </c>
      <c r="T10" s="7" t="s">
        <v>82</v>
      </c>
      <c r="U10" s="7" t="s">
        <v>82</v>
      </c>
      <c r="V10" s="7" t="s">
        <v>82</v>
      </c>
      <c r="W10" s="7" t="s">
        <v>82</v>
      </c>
      <c r="X10" s="7" t="s">
        <v>82</v>
      </c>
      <c r="Y10" s="7" t="s">
        <v>82</v>
      </c>
      <c r="Z10" s="7" t="s">
        <v>82</v>
      </c>
      <c r="AA10" s="7" t="s">
        <v>82</v>
      </c>
      <c r="AB10" s="7" t="s">
        <v>82</v>
      </c>
      <c r="AC10" s="7" t="s">
        <v>82</v>
      </c>
    </row>
    <row r="11" spans="2:29">
      <c r="B11" s="1"/>
      <c r="C11" s="7"/>
      <c r="D11" s="298" t="s">
        <v>83</v>
      </c>
      <c r="E11" s="298"/>
      <c r="F11" s="6" t="s">
        <v>84</v>
      </c>
      <c r="G11" s="6" t="s">
        <v>85</v>
      </c>
      <c r="H11" s="6" t="s">
        <v>85</v>
      </c>
      <c r="I11" s="6" t="s">
        <v>84</v>
      </c>
      <c r="J11" s="7" t="s">
        <v>84</v>
      </c>
      <c r="K11" s="7" t="s">
        <v>85</v>
      </c>
      <c r="L11" s="7" t="s">
        <v>85</v>
      </c>
      <c r="M11" s="7" t="s">
        <v>86</v>
      </c>
      <c r="N11" s="7" t="s">
        <v>86</v>
      </c>
      <c r="O11" s="7"/>
      <c r="P11" s="7"/>
      <c r="Q11" s="7" t="s">
        <v>85</v>
      </c>
      <c r="R11" s="7" t="s">
        <v>85</v>
      </c>
      <c r="S11" s="7"/>
      <c r="T11" s="7"/>
      <c r="U11" s="7"/>
      <c r="V11" s="7"/>
      <c r="W11" s="7"/>
      <c r="X11" s="7"/>
      <c r="Y11" s="7"/>
      <c r="Z11" s="7"/>
      <c r="AA11" s="7"/>
      <c r="AB11" s="7"/>
      <c r="AC11" s="7"/>
    </row>
    <row r="12" spans="2:29">
      <c r="B12" s="293" t="s">
        <v>87</v>
      </c>
      <c r="C12" s="7" t="s">
        <v>88</v>
      </c>
      <c r="D12" s="7" t="s">
        <v>89</v>
      </c>
      <c r="E12" s="7" t="s">
        <v>90</v>
      </c>
      <c r="F12" s="7"/>
      <c r="G12" s="7">
        <v>0</v>
      </c>
      <c r="H12" s="7">
        <v>0.3</v>
      </c>
      <c r="I12" s="7">
        <v>1.5764761738534672</v>
      </c>
      <c r="J12" s="6">
        <v>1.4620544906879693</v>
      </c>
      <c r="K12" s="7">
        <v>1.1974377391693776</v>
      </c>
      <c r="L12" s="7">
        <v>1.245531064274104</v>
      </c>
      <c r="M12" s="7">
        <v>2.8</v>
      </c>
      <c r="N12" s="7">
        <v>0.6</v>
      </c>
      <c r="O12" s="7">
        <v>-0.55000000000000004</v>
      </c>
      <c r="P12" s="7">
        <v>-0.1</v>
      </c>
      <c r="Q12" s="7">
        <v>-0.25</v>
      </c>
      <c r="R12" s="7">
        <v>-1</v>
      </c>
      <c r="S12" s="7">
        <v>-0.5</v>
      </c>
      <c r="T12" s="7"/>
      <c r="U12" s="7"/>
      <c r="V12" s="7"/>
      <c r="W12" s="7"/>
      <c r="X12" s="7"/>
      <c r="Y12" s="7"/>
      <c r="Z12" s="7"/>
      <c r="AA12" s="7"/>
      <c r="AB12" s="7"/>
      <c r="AC12" s="7"/>
    </row>
    <row r="13" spans="2:29">
      <c r="B13" s="293"/>
      <c r="C13" s="7" t="s">
        <v>91</v>
      </c>
      <c r="D13" s="7" t="s">
        <v>92</v>
      </c>
      <c r="E13" s="7" t="s">
        <v>90</v>
      </c>
      <c r="F13" s="7"/>
      <c r="G13" s="7">
        <v>0</v>
      </c>
      <c r="H13" s="7">
        <v>0</v>
      </c>
      <c r="I13" s="7">
        <v>0</v>
      </c>
      <c r="J13" s="6">
        <v>0</v>
      </c>
      <c r="K13" s="7">
        <v>0</v>
      </c>
      <c r="L13" s="7">
        <v>0</v>
      </c>
      <c r="M13" s="7">
        <v>0</v>
      </c>
      <c r="N13" s="7">
        <v>0</v>
      </c>
      <c r="O13" s="7">
        <v>0</v>
      </c>
      <c r="P13" s="7">
        <v>0</v>
      </c>
      <c r="Q13" s="7">
        <v>0</v>
      </c>
      <c r="R13" s="7">
        <v>0</v>
      </c>
      <c r="S13" s="7">
        <v>0</v>
      </c>
      <c r="T13" s="7"/>
      <c r="U13" s="7"/>
      <c r="V13" s="7"/>
      <c r="W13" s="7"/>
      <c r="X13" s="7"/>
      <c r="Y13" s="7"/>
      <c r="Z13" s="7"/>
      <c r="AA13" s="7"/>
      <c r="AB13" s="7"/>
      <c r="AC13" s="7"/>
    </row>
    <row r="14" spans="2:29">
      <c r="B14" s="293"/>
      <c r="C14" s="7" t="s">
        <v>93</v>
      </c>
      <c r="D14" s="7" t="s">
        <v>94</v>
      </c>
      <c r="E14" s="7" t="s">
        <v>95</v>
      </c>
      <c r="F14" s="7"/>
      <c r="G14" s="7">
        <v>9.5</v>
      </c>
      <c r="H14" s="7">
        <v>9.25</v>
      </c>
      <c r="I14" s="7">
        <v>10.5</v>
      </c>
      <c r="J14" s="6">
        <v>9.5</v>
      </c>
      <c r="K14" s="7">
        <v>11</v>
      </c>
      <c r="L14" s="7">
        <v>9.6</v>
      </c>
      <c r="M14" s="7">
        <v>8.3000000000000007</v>
      </c>
      <c r="N14" s="7">
        <v>10</v>
      </c>
      <c r="O14" s="7">
        <v>11</v>
      </c>
      <c r="P14" s="7">
        <v>10.5</v>
      </c>
      <c r="Q14" s="7">
        <v>10</v>
      </c>
      <c r="R14" s="7">
        <v>9.5</v>
      </c>
      <c r="S14" s="7">
        <v>9</v>
      </c>
      <c r="T14" s="7">
        <v>8.8000000000000007</v>
      </c>
      <c r="U14" s="7">
        <v>9</v>
      </c>
      <c r="V14" s="7">
        <v>8.8000000000000007</v>
      </c>
      <c r="W14" s="7">
        <v>9.11</v>
      </c>
      <c r="X14" s="7">
        <v>8.76</v>
      </c>
      <c r="Y14" s="7">
        <v>8.5</v>
      </c>
      <c r="Z14" s="7">
        <v>8.5299999999999994</v>
      </c>
      <c r="AA14" s="7">
        <v>7.69</v>
      </c>
      <c r="AB14" s="7">
        <v>8</v>
      </c>
      <c r="AC14" s="7">
        <v>7.6</v>
      </c>
    </row>
    <row r="15" spans="2:29" ht="19.5" thickBot="1">
      <c r="B15" s="294"/>
      <c r="C15" s="10" t="s">
        <v>96</v>
      </c>
      <c r="D15" s="10" t="s">
        <v>97</v>
      </c>
      <c r="E15" s="10" t="s">
        <v>98</v>
      </c>
      <c r="F15" s="10"/>
      <c r="G15" s="10">
        <v>2</v>
      </c>
      <c r="H15" s="10">
        <v>2</v>
      </c>
      <c r="I15" s="10">
        <v>100</v>
      </c>
      <c r="J15" s="11">
        <v>100</v>
      </c>
      <c r="K15" s="10">
        <v>2</v>
      </c>
      <c r="L15" s="10">
        <v>2</v>
      </c>
      <c r="M15" s="10">
        <v>2</v>
      </c>
      <c r="N15" s="10">
        <v>2</v>
      </c>
      <c r="O15" s="10">
        <v>2</v>
      </c>
      <c r="P15" s="10">
        <v>2</v>
      </c>
      <c r="Q15" s="10">
        <v>2</v>
      </c>
      <c r="R15" s="10">
        <v>2</v>
      </c>
      <c r="S15" s="10">
        <v>2</v>
      </c>
      <c r="T15" s="10"/>
      <c r="U15" s="10"/>
      <c r="V15" s="10"/>
      <c r="W15" s="10"/>
      <c r="X15" s="10"/>
      <c r="Y15" s="10"/>
      <c r="Z15" s="10"/>
      <c r="AA15" s="10"/>
      <c r="AB15" s="10"/>
      <c r="AC15" s="10"/>
    </row>
    <row r="16" spans="2:29" ht="19.5" thickTop="1">
      <c r="B16" s="293" t="s">
        <v>99</v>
      </c>
      <c r="C16" s="9" t="s">
        <v>100</v>
      </c>
      <c r="D16" s="7" t="s">
        <v>77</v>
      </c>
      <c r="E16" s="7" t="s">
        <v>101</v>
      </c>
      <c r="F16" s="7"/>
      <c r="G16" s="7">
        <v>54</v>
      </c>
      <c r="H16" s="7">
        <v>54</v>
      </c>
      <c r="I16" s="7">
        <v>42.574195183784404</v>
      </c>
      <c r="J16" s="12">
        <v>40.629999999999995</v>
      </c>
      <c r="K16" s="7">
        <v>44.93644280491565</v>
      </c>
      <c r="L16" s="7">
        <v>45.797063524200141</v>
      </c>
      <c r="M16" s="7">
        <v>44.512043873841378</v>
      </c>
      <c r="N16" s="7">
        <v>44.343872785418093</v>
      </c>
      <c r="O16" s="7">
        <v>38.544311560569746</v>
      </c>
      <c r="P16" s="7">
        <v>40.157903567729356</v>
      </c>
      <c r="Q16" s="7">
        <v>38.481598500930382</v>
      </c>
      <c r="R16" s="7">
        <v>39.1303852973776</v>
      </c>
      <c r="S16" s="7">
        <v>39.785132411188641</v>
      </c>
      <c r="T16" s="7">
        <v>36</v>
      </c>
      <c r="U16" s="7">
        <v>35</v>
      </c>
      <c r="V16" s="7">
        <v>36</v>
      </c>
      <c r="W16" s="7">
        <v>36</v>
      </c>
      <c r="X16" s="7">
        <v>34</v>
      </c>
      <c r="Y16" s="7">
        <v>36.5</v>
      </c>
      <c r="Z16" s="7">
        <v>40</v>
      </c>
      <c r="AA16" s="7">
        <v>40</v>
      </c>
      <c r="AB16" s="7">
        <v>37.5</v>
      </c>
      <c r="AC16" s="7">
        <v>37.5</v>
      </c>
    </row>
    <row r="17" spans="2:29">
      <c r="B17" s="293"/>
      <c r="C17" s="9" t="s">
        <v>102</v>
      </c>
      <c r="D17" s="7" t="s">
        <v>77</v>
      </c>
      <c r="E17" s="7" t="s">
        <v>101</v>
      </c>
      <c r="F17" s="7"/>
      <c r="G17" s="7">
        <v>66</v>
      </c>
      <c r="H17" s="7">
        <v>60</v>
      </c>
      <c r="I17" s="7">
        <v>61</v>
      </c>
      <c r="J17" s="6">
        <v>58.5</v>
      </c>
      <c r="K17" s="7">
        <v>65</v>
      </c>
      <c r="L17" s="7">
        <v>53</v>
      </c>
      <c r="M17" s="7">
        <v>53</v>
      </c>
      <c r="N17" s="7">
        <v>51</v>
      </c>
      <c r="O17" s="7">
        <v>53</v>
      </c>
      <c r="P17" s="7">
        <v>55</v>
      </c>
      <c r="Q17" s="7">
        <v>49</v>
      </c>
      <c r="R17" s="7">
        <v>49</v>
      </c>
      <c r="S17" s="7">
        <v>49</v>
      </c>
      <c r="T17" s="7"/>
      <c r="U17" s="7"/>
      <c r="V17" s="7"/>
      <c r="W17" s="7"/>
      <c r="X17" s="7"/>
      <c r="Y17" s="7"/>
      <c r="Z17" s="7"/>
      <c r="AA17" s="7"/>
      <c r="AB17" s="7"/>
      <c r="AC17" s="7"/>
    </row>
    <row r="18" spans="2:29">
      <c r="B18" s="293"/>
      <c r="C18" s="9" t="s">
        <v>103</v>
      </c>
      <c r="D18" s="7" t="s">
        <v>98</v>
      </c>
      <c r="E18" s="7" t="s">
        <v>101</v>
      </c>
      <c r="F18" s="7"/>
      <c r="G18" s="7">
        <v>120</v>
      </c>
      <c r="H18" s="7">
        <v>114</v>
      </c>
      <c r="I18" s="7">
        <v>103.57419518378441</v>
      </c>
      <c r="J18" s="6">
        <v>99.13</v>
      </c>
      <c r="K18" s="7">
        <v>109.93644280491566</v>
      </c>
      <c r="L18" s="7">
        <v>98.797063524200141</v>
      </c>
      <c r="M18" s="7">
        <v>97.512043873841378</v>
      </c>
      <c r="N18" s="7">
        <v>95.343872785418085</v>
      </c>
      <c r="O18" s="7">
        <v>91.544311560569753</v>
      </c>
      <c r="P18" s="7">
        <v>95.157903567729363</v>
      </c>
      <c r="Q18" s="7">
        <v>87.481598500930374</v>
      </c>
      <c r="R18" s="7">
        <v>88.1303852973776</v>
      </c>
      <c r="S18" s="7">
        <v>88.785132411188641</v>
      </c>
      <c r="T18" s="7">
        <v>85</v>
      </c>
      <c r="U18" s="7">
        <v>84</v>
      </c>
      <c r="V18" s="7">
        <v>86</v>
      </c>
      <c r="W18" s="7">
        <v>88</v>
      </c>
      <c r="X18" s="7">
        <v>86</v>
      </c>
      <c r="Y18" s="7">
        <v>91.5</v>
      </c>
      <c r="Z18" s="7">
        <v>96</v>
      </c>
      <c r="AA18" s="7">
        <v>96</v>
      </c>
      <c r="AB18" s="7">
        <v>89</v>
      </c>
      <c r="AC18" s="7">
        <v>89</v>
      </c>
    </row>
    <row r="19" spans="2:29">
      <c r="B19" s="293"/>
      <c r="C19" s="9" t="s">
        <v>104</v>
      </c>
      <c r="D19" s="7" t="s">
        <v>105</v>
      </c>
      <c r="E19" s="7" t="s">
        <v>106</v>
      </c>
      <c r="F19" s="7"/>
      <c r="G19" s="7">
        <v>1175.6400000000001</v>
      </c>
      <c r="H19" s="7">
        <v>1116.8580000000002</v>
      </c>
      <c r="I19" s="7">
        <v>1014.716390215536</v>
      </c>
      <c r="J19" s="6">
        <v>970.97834999999998</v>
      </c>
      <c r="K19" s="7">
        <v>1076.8274572741489</v>
      </c>
      <c r="L19" s="7">
        <v>967.71723721954038</v>
      </c>
      <c r="M19" s="7">
        <v>955.1304697442763</v>
      </c>
      <c r="N19" s="7">
        <v>933.89323393317011</v>
      </c>
      <c r="O19" s="7">
        <v>896.67653173578071</v>
      </c>
      <c r="P19" s="7">
        <v>932.07166544590916</v>
      </c>
      <c r="Q19" s="7">
        <v>856.88225731661305</v>
      </c>
      <c r="R19" s="7">
        <v>863.23712398781356</v>
      </c>
      <c r="S19" s="7">
        <v>869.65037196759272</v>
      </c>
      <c r="T19" s="7"/>
      <c r="U19" s="7"/>
      <c r="V19" s="7"/>
      <c r="W19" s="7"/>
      <c r="X19" s="7"/>
      <c r="Y19" s="7"/>
      <c r="Z19" s="7"/>
      <c r="AA19" s="7"/>
      <c r="AB19" s="7"/>
      <c r="AC19" s="7"/>
    </row>
    <row r="20" spans="2:29" ht="19.5" thickBot="1">
      <c r="B20" s="294"/>
      <c r="C20" s="10" t="s">
        <v>107</v>
      </c>
      <c r="D20" s="10" t="s">
        <v>108</v>
      </c>
      <c r="E20" s="10" t="s">
        <v>109</v>
      </c>
      <c r="F20" s="10"/>
      <c r="G20" s="10">
        <v>5.9264702874498054</v>
      </c>
      <c r="H20" s="10">
        <v>5.7235815097464489</v>
      </c>
      <c r="I20" s="10">
        <v>5.8642150459954827</v>
      </c>
      <c r="J20" s="11">
        <v>5.2592371024187807</v>
      </c>
      <c r="K20" s="10">
        <v>5.7667803807721114</v>
      </c>
      <c r="L20" s="10">
        <v>5.2494263298141739</v>
      </c>
      <c r="M20" s="10">
        <v>5.3211758695686999</v>
      </c>
      <c r="N20" s="10">
        <v>5.2796190648854795</v>
      </c>
      <c r="O20" s="10">
        <v>4.9932308466401985</v>
      </c>
      <c r="P20" s="10">
        <v>5.3626377908957457</v>
      </c>
      <c r="Q20" s="10">
        <v>4.7387905392098775</v>
      </c>
      <c r="R20" s="10">
        <v>4.7065826929369603</v>
      </c>
      <c r="S20" s="10">
        <v>4.7787575826698534</v>
      </c>
      <c r="T20" s="10">
        <v>4.4800000000000004</v>
      </c>
      <c r="U20" s="10">
        <v>5.21</v>
      </c>
      <c r="V20" s="10">
        <v>4.66</v>
      </c>
      <c r="W20" s="10">
        <v>4.6100000000000003</v>
      </c>
      <c r="X20" s="10">
        <v>4.51</v>
      </c>
      <c r="Y20" s="10">
        <v>4.83</v>
      </c>
      <c r="Z20" s="10">
        <v>4.01</v>
      </c>
      <c r="AA20" s="10">
        <v>4.0199999999999996</v>
      </c>
      <c r="AB20" s="10">
        <v>4.3600000000000003</v>
      </c>
      <c r="AC20" s="10">
        <v>4.03</v>
      </c>
    </row>
    <row r="21" spans="2:29" ht="19.5" thickTop="1">
      <c r="B21" s="293" t="s">
        <v>110</v>
      </c>
      <c r="C21" s="7" t="s">
        <v>111</v>
      </c>
      <c r="D21" s="7" t="s">
        <v>112</v>
      </c>
      <c r="E21" s="7" t="s">
        <v>98</v>
      </c>
      <c r="F21" s="7"/>
      <c r="G21" s="7">
        <v>0.27072313603887416</v>
      </c>
      <c r="H21" s="7">
        <v>0.23638218307455461</v>
      </c>
      <c r="I21" s="7">
        <v>0.23544509320633827</v>
      </c>
      <c r="J21" s="12">
        <v>0.2492959690889035</v>
      </c>
      <c r="K21" s="7">
        <v>0.27955130115864996</v>
      </c>
      <c r="L21" s="7">
        <v>0.28948775014121375</v>
      </c>
      <c r="M21" s="7">
        <v>0.2817978091561667</v>
      </c>
      <c r="N21" s="7">
        <v>0.21242587219432632</v>
      </c>
      <c r="O21" s="7">
        <v>0.22847891878415774</v>
      </c>
      <c r="P21" s="7">
        <v>0.22279182074093792</v>
      </c>
      <c r="Q21" s="7">
        <v>0.23342359262169821</v>
      </c>
      <c r="R21" s="7">
        <v>0.23788263073181701</v>
      </c>
      <c r="S21" s="7">
        <v>0.22527494420692037</v>
      </c>
      <c r="T21" s="7"/>
      <c r="U21" s="7"/>
      <c r="V21" s="7"/>
      <c r="W21" s="7"/>
      <c r="X21" s="7"/>
      <c r="Y21" s="7"/>
      <c r="Z21" s="7"/>
      <c r="AA21" s="7"/>
      <c r="AB21" s="7"/>
      <c r="AC21" s="7"/>
    </row>
    <row r="22" spans="2:29">
      <c r="B22" s="293"/>
      <c r="C22" s="7" t="s">
        <v>111</v>
      </c>
      <c r="D22" s="7" t="s">
        <v>113</v>
      </c>
      <c r="E22" s="7" t="s">
        <v>77</v>
      </c>
      <c r="F22" s="7"/>
      <c r="G22" s="7">
        <v>0.36499999999999999</v>
      </c>
      <c r="H22" s="7">
        <v>0.375</v>
      </c>
      <c r="I22" s="7">
        <v>0.35</v>
      </c>
      <c r="J22" s="6">
        <v>0.33</v>
      </c>
      <c r="K22" s="7">
        <v>0.33</v>
      </c>
      <c r="L22" s="7">
        <v>0.32319999999999999</v>
      </c>
      <c r="M22" s="7">
        <v>0.32319999999999999</v>
      </c>
      <c r="N22" s="7">
        <v>0.32319999999999999</v>
      </c>
      <c r="O22" s="7">
        <v>0.32319999999999999</v>
      </c>
      <c r="P22" s="7">
        <v>0.32319999999999999</v>
      </c>
      <c r="Q22" s="7">
        <v>0.32319999999999999</v>
      </c>
      <c r="R22" s="7">
        <v>0.32319999999999999</v>
      </c>
      <c r="S22" s="7">
        <v>0.32319999999999999</v>
      </c>
      <c r="T22" s="7">
        <v>33</v>
      </c>
      <c r="U22" s="7">
        <v>33</v>
      </c>
      <c r="V22" s="7">
        <v>33</v>
      </c>
      <c r="W22" s="7">
        <v>33</v>
      </c>
      <c r="X22" s="7">
        <v>30</v>
      </c>
      <c r="Y22" s="7">
        <v>33</v>
      </c>
      <c r="Z22" s="7">
        <v>30</v>
      </c>
      <c r="AA22" s="7">
        <v>25</v>
      </c>
      <c r="AB22" s="7">
        <v>25</v>
      </c>
      <c r="AC22" s="7">
        <v>25</v>
      </c>
    </row>
    <row r="23" spans="2:29" ht="19.5" thickBot="1">
      <c r="B23" s="294"/>
      <c r="C23" s="10" t="s">
        <v>114</v>
      </c>
      <c r="D23" s="10" t="s">
        <v>115</v>
      </c>
      <c r="E23" s="10" t="s">
        <v>77</v>
      </c>
      <c r="F23" s="10"/>
      <c r="G23" s="10">
        <v>0.55919797824074469</v>
      </c>
      <c r="H23" s="10">
        <v>0.53735083832548902</v>
      </c>
      <c r="I23" s="10">
        <v>0.55274022409528079</v>
      </c>
      <c r="J23" s="11">
        <v>0.51724507324221358</v>
      </c>
      <c r="K23" s="10">
        <v>0.5231483199220881</v>
      </c>
      <c r="L23" s="10">
        <v>0.52800508218192999</v>
      </c>
      <c r="M23" s="10">
        <v>0.49513467835370822</v>
      </c>
      <c r="N23" s="10">
        <v>0.49508048406814709</v>
      </c>
      <c r="O23" s="10">
        <v>0.50801579155783205</v>
      </c>
      <c r="P23" s="10">
        <v>0.49050073651817705</v>
      </c>
      <c r="Q23" s="10">
        <v>0.50150590032370146</v>
      </c>
      <c r="R23" s="10">
        <v>0.49779989846597406</v>
      </c>
      <c r="S23" s="10">
        <v>0.50245945268494019</v>
      </c>
      <c r="T23" s="10"/>
      <c r="U23" s="10"/>
      <c r="V23" s="10"/>
      <c r="W23" s="10"/>
      <c r="X23" s="10"/>
      <c r="Y23" s="10"/>
      <c r="Z23" s="10"/>
      <c r="AA23" s="10"/>
      <c r="AB23" s="10"/>
      <c r="AC23" s="10"/>
    </row>
    <row r="24" spans="2:29" ht="19.5" thickTop="1">
      <c r="B24" s="295" t="s">
        <v>116</v>
      </c>
      <c r="C24" s="13" t="s">
        <v>117</v>
      </c>
      <c r="D24" s="13" t="s">
        <v>118</v>
      </c>
      <c r="E24" s="13" t="s">
        <v>119</v>
      </c>
      <c r="F24" s="14"/>
      <c r="G24" s="14">
        <v>20.248139985467926</v>
      </c>
      <c r="H24" s="14">
        <v>19.91759876326984</v>
      </c>
      <c r="I24" s="14">
        <v>17.662073162632822</v>
      </c>
      <c r="J24" s="12">
        <v>18.848741380077545</v>
      </c>
      <c r="K24" s="14">
        <v>19.063747107739921</v>
      </c>
      <c r="L24" s="14">
        <v>18.820544820884741</v>
      </c>
      <c r="M24" s="13">
        <v>18.32528115289395</v>
      </c>
      <c r="N24" s="13">
        <v>18.058854552508553</v>
      </c>
      <c r="O24" s="13">
        <v>18.333683014508992</v>
      </c>
      <c r="P24" s="13">
        <v>17.744607649854849</v>
      </c>
      <c r="Q24" s="13">
        <v>18.460743891735003</v>
      </c>
      <c r="R24" s="13">
        <v>18.724920190955629</v>
      </c>
      <c r="S24" s="13">
        <v>18.579124568521241</v>
      </c>
      <c r="T24" s="13">
        <v>19</v>
      </c>
      <c r="U24" s="13">
        <v>19.2</v>
      </c>
      <c r="V24" s="13">
        <v>19</v>
      </c>
      <c r="W24" s="13">
        <v>19.2</v>
      </c>
      <c r="X24" s="13">
        <v>19.05</v>
      </c>
      <c r="Y24" s="13">
        <v>19.100000000000001</v>
      </c>
      <c r="Z24" s="13">
        <v>22.4</v>
      </c>
      <c r="AA24" s="13">
        <v>23.8</v>
      </c>
      <c r="AB24" s="13">
        <v>20.2</v>
      </c>
      <c r="AC24" s="13">
        <v>20.37</v>
      </c>
    </row>
    <row r="25" spans="2:29">
      <c r="B25" s="293"/>
      <c r="C25" s="7" t="s">
        <v>120</v>
      </c>
      <c r="D25" s="7" t="s">
        <v>121</v>
      </c>
      <c r="E25" s="7" t="s">
        <v>119</v>
      </c>
      <c r="F25" s="15"/>
      <c r="G25" s="15">
        <v>1.8760000000000001</v>
      </c>
      <c r="H25" s="15">
        <v>1.82</v>
      </c>
      <c r="I25" s="15">
        <v>1.54</v>
      </c>
      <c r="J25" s="6">
        <v>1.353</v>
      </c>
      <c r="K25" s="15">
        <v>1.6703999999999999</v>
      </c>
      <c r="L25" s="15">
        <v>1.5264</v>
      </c>
      <c r="M25" s="7">
        <v>1.5475999999999996</v>
      </c>
      <c r="N25" s="7">
        <v>1.375</v>
      </c>
      <c r="O25" s="7">
        <v>1.254</v>
      </c>
      <c r="P25" s="7">
        <v>1.3559999999999999</v>
      </c>
      <c r="Q25" s="7">
        <v>1.254</v>
      </c>
      <c r="R25" s="7">
        <v>1.254</v>
      </c>
      <c r="S25" s="7">
        <v>1.254</v>
      </c>
      <c r="T25" s="7">
        <v>1.32</v>
      </c>
      <c r="U25" s="7">
        <v>1.3</v>
      </c>
      <c r="V25" s="7">
        <v>1.3</v>
      </c>
      <c r="W25" s="7">
        <v>1.4</v>
      </c>
      <c r="X25" s="7">
        <v>1.38</v>
      </c>
      <c r="Y25" s="7">
        <v>1.39</v>
      </c>
      <c r="Z25" s="7">
        <v>2.1</v>
      </c>
      <c r="AA25" s="7">
        <v>2.16</v>
      </c>
      <c r="AB25" s="7">
        <v>1.69</v>
      </c>
      <c r="AC25" s="7">
        <v>1.7</v>
      </c>
    </row>
    <row r="26" spans="2:29" ht="19.5" thickBot="1">
      <c r="B26" s="294"/>
      <c r="C26" s="10" t="s">
        <v>122</v>
      </c>
      <c r="D26" s="10" t="s">
        <v>123</v>
      </c>
      <c r="E26" s="10" t="s">
        <v>119</v>
      </c>
      <c r="F26" s="16"/>
      <c r="G26" s="16">
        <v>0.6611999999999999</v>
      </c>
      <c r="H26" s="16">
        <v>0.70125000000000004</v>
      </c>
      <c r="I26" s="16">
        <v>0.70125000000000004</v>
      </c>
      <c r="J26" s="11">
        <v>0.62600000000000011</v>
      </c>
      <c r="K26" s="16">
        <v>0.63319999999999999</v>
      </c>
      <c r="L26" s="16">
        <v>0.63319999999999999</v>
      </c>
      <c r="M26" s="10">
        <v>0.55503775834658209</v>
      </c>
      <c r="N26" s="10">
        <v>0.57000000000000006</v>
      </c>
      <c r="O26" s="10">
        <v>0.4</v>
      </c>
      <c r="P26" s="10">
        <v>0.36000000000000004</v>
      </c>
      <c r="Q26" s="10">
        <v>0.4</v>
      </c>
      <c r="R26" s="10">
        <v>0.4</v>
      </c>
      <c r="S26" s="10">
        <v>0.4</v>
      </c>
      <c r="T26" s="10">
        <v>0.4</v>
      </c>
      <c r="U26" s="10">
        <v>0.45</v>
      </c>
      <c r="V26" s="10">
        <v>0.38300000000000001</v>
      </c>
      <c r="W26" s="10">
        <v>0.72199999999999998</v>
      </c>
      <c r="X26" s="10">
        <v>0.73</v>
      </c>
      <c r="Y26" s="10">
        <v>0.92</v>
      </c>
      <c r="Z26" s="10">
        <v>1.32</v>
      </c>
      <c r="AA26" s="10">
        <v>1.24</v>
      </c>
      <c r="AB26" s="10">
        <v>1.05</v>
      </c>
      <c r="AC26" s="10">
        <v>1.05</v>
      </c>
    </row>
    <row r="27" spans="2:29" ht="19.5" thickTop="1">
      <c r="B27" s="296" t="s">
        <v>124</v>
      </c>
      <c r="C27" s="17" t="s">
        <v>125</v>
      </c>
      <c r="D27" s="17" t="s">
        <v>126</v>
      </c>
      <c r="E27" s="17" t="s">
        <v>98</v>
      </c>
      <c r="F27" s="17"/>
      <c r="G27" s="17">
        <v>25.618460507204276</v>
      </c>
      <c r="H27" s="17">
        <v>24.3693218840186</v>
      </c>
      <c r="I27" s="17">
        <v>24.585465220630464</v>
      </c>
      <c r="J27" s="12">
        <v>26.522536724685345</v>
      </c>
      <c r="K27" s="17">
        <v>25.696443303325886</v>
      </c>
      <c r="L27" s="17">
        <v>26.687812794039022</v>
      </c>
      <c r="M27" s="17">
        <v>26.482901442796813</v>
      </c>
      <c r="N27" s="17">
        <v>25.157304326023652</v>
      </c>
      <c r="O27" s="17">
        <v>26.797336910170205</v>
      </c>
      <c r="P27" s="17">
        <v>25.901214194796381</v>
      </c>
      <c r="Q27" s="17">
        <v>26.665379765339125</v>
      </c>
      <c r="R27" s="17">
        <v>27.831659171718915</v>
      </c>
      <c r="S27" s="17">
        <v>26.704262449297481</v>
      </c>
      <c r="T27" s="17">
        <v>25</v>
      </c>
      <c r="U27" s="17">
        <v>25</v>
      </c>
      <c r="V27" s="17">
        <v>25</v>
      </c>
      <c r="W27" s="17">
        <v>25</v>
      </c>
      <c r="X27" s="17">
        <v>24.2</v>
      </c>
      <c r="Y27" s="17">
        <v>24.6</v>
      </c>
      <c r="Z27" s="17">
        <v>24</v>
      </c>
      <c r="AA27" s="17">
        <v>25</v>
      </c>
      <c r="AB27" s="17">
        <v>23</v>
      </c>
      <c r="AC27" s="17">
        <v>22.9</v>
      </c>
    </row>
    <row r="28" spans="2:29">
      <c r="B28" s="293"/>
      <c r="C28" s="7" t="s">
        <v>127</v>
      </c>
      <c r="D28" s="7" t="s">
        <v>128</v>
      </c>
      <c r="E28" s="7" t="s">
        <v>77</v>
      </c>
      <c r="F28" s="7"/>
      <c r="G28" s="7">
        <v>32.413126303463685</v>
      </c>
      <c r="H28" s="7">
        <v>29.816036367900715</v>
      </c>
      <c r="I28" s="7">
        <v>34.222771842755051</v>
      </c>
      <c r="J28" s="6">
        <v>37.320526613824697</v>
      </c>
      <c r="K28" s="7">
        <v>34.636800137416621</v>
      </c>
      <c r="L28" s="7">
        <v>37.843715923638761</v>
      </c>
      <c r="M28" s="7">
        <v>38.271940439949674</v>
      </c>
      <c r="N28" s="7">
        <v>35.045963691216159</v>
      </c>
      <c r="O28" s="7">
        <v>39.168194678007659</v>
      </c>
      <c r="P28" s="7">
        <v>37.80714175273463</v>
      </c>
      <c r="Q28" s="7">
        <v>38.516458610754881</v>
      </c>
      <c r="R28" s="7">
        <v>41.36739939884324</v>
      </c>
      <c r="S28" s="7">
        <v>38.382735975041598</v>
      </c>
      <c r="T28" s="7">
        <v>32.9</v>
      </c>
      <c r="U28" s="7">
        <v>32.6</v>
      </c>
      <c r="V28" s="7">
        <v>32.799999999999997</v>
      </c>
      <c r="W28" s="7">
        <v>31</v>
      </c>
      <c r="X28" s="7">
        <v>29.3</v>
      </c>
      <c r="Y28" s="7">
        <v>30.19</v>
      </c>
      <c r="Z28" s="7">
        <v>25.7</v>
      </c>
      <c r="AA28" s="7">
        <v>26.2</v>
      </c>
      <c r="AB28" s="7">
        <v>26.2</v>
      </c>
      <c r="AC28" s="7">
        <v>25.74</v>
      </c>
    </row>
    <row r="29" spans="2:29">
      <c r="B29" s="293"/>
      <c r="C29" s="7" t="s">
        <v>129</v>
      </c>
      <c r="D29" s="7" t="s">
        <v>130</v>
      </c>
      <c r="E29" s="7" t="s">
        <v>98</v>
      </c>
      <c r="F29" s="7"/>
      <c r="G29" s="7">
        <v>0.86520017701096508</v>
      </c>
      <c r="H29" s="7">
        <v>0.8720231767632235</v>
      </c>
      <c r="I29" s="7">
        <v>0.75501262265133262</v>
      </c>
      <c r="J29" s="6">
        <v>0.77033183441003639</v>
      </c>
      <c r="K29" s="7">
        <v>0.79254432983788059</v>
      </c>
      <c r="L29" s="7">
        <v>0.75472648598482284</v>
      </c>
      <c r="M29" s="7">
        <v>0.74907663009657421</v>
      </c>
      <c r="N29" s="7">
        <v>0.76454669157292232</v>
      </c>
      <c r="O29" s="7">
        <v>0.7392500571267937</v>
      </c>
      <c r="P29" s="7">
        <v>0.73843862040532482</v>
      </c>
      <c r="Q29" s="7">
        <v>0.7418913760048218</v>
      </c>
      <c r="R29" s="7">
        <v>0.73538366710057068</v>
      </c>
      <c r="S29" s="7">
        <v>0.74501081421659832</v>
      </c>
      <c r="T29" s="7">
        <v>0.78300000000000003</v>
      </c>
      <c r="U29" s="7">
        <v>0.78700000000000003</v>
      </c>
      <c r="V29" s="7">
        <v>0.79400000000000004</v>
      </c>
      <c r="W29" s="7">
        <v>0.82799999999999996</v>
      </c>
      <c r="X29" s="7">
        <v>0.83599999999999997</v>
      </c>
      <c r="Y29" s="7">
        <v>0.83399999999999996</v>
      </c>
      <c r="Z29" s="7">
        <v>1.05</v>
      </c>
      <c r="AA29" s="7">
        <v>1.04</v>
      </c>
      <c r="AB29" s="7">
        <v>0.95</v>
      </c>
      <c r="AC29" s="7">
        <v>0.89</v>
      </c>
    </row>
    <row r="30" spans="2:29">
      <c r="B30" s="293"/>
      <c r="C30" s="7" t="s">
        <v>131</v>
      </c>
      <c r="D30" s="7" t="s">
        <v>132</v>
      </c>
      <c r="E30" s="7" t="s">
        <v>98</v>
      </c>
      <c r="F30" s="7"/>
      <c r="G30" s="7">
        <v>5.2935601989228793</v>
      </c>
      <c r="H30" s="7">
        <v>5.1925558813619714</v>
      </c>
      <c r="I30" s="7">
        <v>5.3518975325674409</v>
      </c>
      <c r="J30" s="6">
        <v>5.5528508888626043</v>
      </c>
      <c r="K30" s="7">
        <v>5.4785617201595151</v>
      </c>
      <c r="L30" s="7">
        <v>5.7156252767200275</v>
      </c>
      <c r="M30" s="7">
        <v>6.9413681054456706</v>
      </c>
      <c r="N30" s="7">
        <v>6.5208255603551191</v>
      </c>
      <c r="O30" s="7">
        <v>6.8168060737590235</v>
      </c>
      <c r="P30" s="7">
        <v>6.2937869269897311</v>
      </c>
      <c r="Q30" s="7">
        <v>6.6913667016195841</v>
      </c>
      <c r="R30" s="7">
        <v>6.8903242022534164</v>
      </c>
      <c r="S30" s="7">
        <v>6.8926165956630623</v>
      </c>
      <c r="T30" s="7"/>
      <c r="U30" s="7"/>
      <c r="V30" s="7"/>
      <c r="W30" s="7"/>
      <c r="X30" s="7"/>
      <c r="Y30" s="7"/>
      <c r="Z30" s="7"/>
      <c r="AA30" s="7"/>
      <c r="AB30" s="7"/>
      <c r="AC30" s="7"/>
    </row>
    <row r="31" spans="2:29">
      <c r="B31" s="293"/>
      <c r="C31" s="7" t="s">
        <v>133</v>
      </c>
      <c r="D31" s="7" t="s">
        <v>134</v>
      </c>
      <c r="E31" s="7" t="s">
        <v>77</v>
      </c>
      <c r="F31" s="7"/>
      <c r="G31" s="7">
        <v>0.25</v>
      </c>
      <c r="H31" s="7">
        <v>0.25</v>
      </c>
      <c r="I31" s="7">
        <v>0.25</v>
      </c>
      <c r="J31" s="6">
        <v>0.25</v>
      </c>
      <c r="K31" s="7">
        <v>0.25</v>
      </c>
      <c r="L31" s="7">
        <v>0.25</v>
      </c>
      <c r="M31" s="7">
        <v>0.25</v>
      </c>
      <c r="N31" s="7">
        <v>0.25</v>
      </c>
      <c r="O31" s="7">
        <v>0.25</v>
      </c>
      <c r="P31" s="7">
        <v>0.25</v>
      </c>
      <c r="Q31" s="7">
        <v>0.25</v>
      </c>
      <c r="R31" s="7">
        <v>0.25</v>
      </c>
      <c r="S31" s="7">
        <v>0.25</v>
      </c>
      <c r="T31" s="7"/>
      <c r="U31" s="7"/>
      <c r="V31" s="7"/>
      <c r="W31" s="7"/>
      <c r="X31" s="7"/>
      <c r="Y31" s="7"/>
      <c r="Z31" s="7"/>
      <c r="AA31" s="7"/>
      <c r="AB31" s="7"/>
      <c r="AC31" s="7"/>
    </row>
    <row r="32" spans="2:29">
      <c r="B32" s="293"/>
      <c r="C32" s="7" t="s">
        <v>135</v>
      </c>
      <c r="D32" s="7" t="s">
        <v>136</v>
      </c>
      <c r="E32" s="7" t="s">
        <v>77</v>
      </c>
      <c r="F32" s="7"/>
      <c r="G32" s="7">
        <v>1.320530667361377</v>
      </c>
      <c r="H32" s="7">
        <v>1.8588259707342709</v>
      </c>
      <c r="I32" s="7">
        <v>1.0033821094050335</v>
      </c>
      <c r="J32" s="6">
        <v>0.99250802706810226</v>
      </c>
      <c r="K32" s="7">
        <v>1.7805617050996969</v>
      </c>
      <c r="L32" s="7">
        <v>1.7731267172912202</v>
      </c>
      <c r="M32" s="7">
        <v>1.7066097267535372</v>
      </c>
      <c r="N32" s="7">
        <v>1.9579540414279473</v>
      </c>
      <c r="O32" s="7">
        <v>1.9434745281125376</v>
      </c>
      <c r="P32" s="7">
        <v>1.9584644392092285</v>
      </c>
      <c r="Q32" s="7">
        <v>1.9309507687771426</v>
      </c>
      <c r="R32" s="7">
        <v>1.9606085843940717</v>
      </c>
      <c r="S32" s="7">
        <v>1.8703274241793417</v>
      </c>
      <c r="T32" s="7"/>
      <c r="U32" s="7"/>
      <c r="V32" s="7"/>
      <c r="W32" s="7"/>
      <c r="X32" s="7"/>
      <c r="Y32" s="7"/>
      <c r="Z32" s="7"/>
      <c r="AA32" s="7"/>
      <c r="AB32" s="7"/>
      <c r="AC32" s="7"/>
    </row>
    <row r="33" spans="2:29">
      <c r="B33" s="293"/>
      <c r="C33" s="7" t="s">
        <v>137</v>
      </c>
      <c r="D33" s="7" t="s">
        <v>138</v>
      </c>
      <c r="E33" s="7" t="s">
        <v>77</v>
      </c>
      <c r="F33" s="7"/>
      <c r="G33" s="7">
        <v>0.10938540495900506</v>
      </c>
      <c r="H33" s="7">
        <v>0.11074515224652458</v>
      </c>
      <c r="I33" s="7">
        <v>0.11093402044426547</v>
      </c>
      <c r="J33" s="6">
        <v>0.11758499978781374</v>
      </c>
      <c r="K33" s="7">
        <v>0.1170786455478971</v>
      </c>
      <c r="L33" s="7">
        <v>0.11419203368739703</v>
      </c>
      <c r="M33" s="7">
        <v>0.1108294313611778</v>
      </c>
      <c r="N33" s="7">
        <v>0.11609664028196555</v>
      </c>
      <c r="O33" s="7">
        <v>0.11480993359989657</v>
      </c>
      <c r="P33" s="7">
        <v>0.11779240220037493</v>
      </c>
      <c r="Q33" s="7">
        <v>0.11645898497470911</v>
      </c>
      <c r="R33" s="7">
        <v>0.11806821332309325</v>
      </c>
      <c r="S33" s="7">
        <v>0.11482817842248566</v>
      </c>
      <c r="T33" s="7"/>
      <c r="U33" s="7"/>
      <c r="V33" s="7"/>
      <c r="W33" s="7"/>
      <c r="X33" s="7"/>
      <c r="Y33" s="7"/>
      <c r="Z33" s="7"/>
      <c r="AA33" s="7"/>
      <c r="AB33" s="7"/>
      <c r="AC33" s="7"/>
    </row>
    <row r="34" spans="2:29">
      <c r="B34" s="293"/>
      <c r="C34" s="7" t="s">
        <v>139</v>
      </c>
      <c r="D34" s="7" t="s">
        <v>140</v>
      </c>
      <c r="E34" s="7" t="s">
        <v>90</v>
      </c>
      <c r="F34" s="7"/>
      <c r="G34" s="7">
        <v>0.10304333369386161</v>
      </c>
      <c r="H34" s="7">
        <v>0.10371917667548076</v>
      </c>
      <c r="I34" s="7">
        <v>0.10474185445756348</v>
      </c>
      <c r="J34" s="6">
        <v>0.11119553796618663</v>
      </c>
      <c r="K34" s="7">
        <v>0.11028019104580952</v>
      </c>
      <c r="L34" s="7">
        <v>0.10823561805284826</v>
      </c>
      <c r="M34" s="7">
        <v>0.10526973696124349</v>
      </c>
      <c r="N34" s="7">
        <v>0.10948213075902856</v>
      </c>
      <c r="O34" s="7">
        <v>0.10898379773170222</v>
      </c>
      <c r="P34" s="7">
        <v>0.11145907911771946</v>
      </c>
      <c r="Q34" s="7">
        <v>0.11037258319132046</v>
      </c>
      <c r="R34" s="7">
        <v>0.11222646535285601</v>
      </c>
      <c r="S34" s="7">
        <v>0.10888714601460912</v>
      </c>
      <c r="T34" s="7"/>
      <c r="U34" s="7"/>
      <c r="V34" s="7"/>
      <c r="W34" s="7"/>
      <c r="X34" s="7"/>
      <c r="Y34" s="7"/>
      <c r="Z34" s="7"/>
      <c r="AA34" s="7"/>
      <c r="AB34" s="7"/>
      <c r="AC34" s="7"/>
    </row>
    <row r="35" spans="2:29">
      <c r="B35" s="293"/>
      <c r="C35" s="7" t="s">
        <v>141</v>
      </c>
      <c r="D35" s="7" t="s">
        <v>77</v>
      </c>
      <c r="E35" s="7" t="s">
        <v>142</v>
      </c>
      <c r="F35" s="7"/>
      <c r="G35" s="7">
        <v>0.36499999999999999</v>
      </c>
      <c r="H35" s="7">
        <v>0.375</v>
      </c>
      <c r="I35" s="7">
        <v>0.35</v>
      </c>
      <c r="J35" s="6">
        <v>0.33</v>
      </c>
      <c r="K35" s="7">
        <v>0.33</v>
      </c>
      <c r="L35" s="7">
        <v>0.32319999999999999</v>
      </c>
      <c r="M35" s="7">
        <v>0.32319999999999999</v>
      </c>
      <c r="N35" s="7">
        <v>0.32319999999999999</v>
      </c>
      <c r="O35" s="7">
        <v>0.32319999999999999</v>
      </c>
      <c r="P35" s="7">
        <v>0.32319999999999999</v>
      </c>
      <c r="Q35" s="7">
        <v>0.32319999999999999</v>
      </c>
      <c r="R35" s="7">
        <v>0.32319999999999999</v>
      </c>
      <c r="S35" s="7">
        <v>0.32319999999999999</v>
      </c>
      <c r="T35" s="7"/>
      <c r="U35" s="7"/>
      <c r="V35" s="7"/>
      <c r="W35" s="7"/>
      <c r="X35" s="7"/>
      <c r="Y35" s="7"/>
      <c r="Z35" s="7"/>
      <c r="AA35" s="7"/>
      <c r="AB35" s="7"/>
      <c r="AC35" s="7"/>
    </row>
    <row r="36" spans="2:29">
      <c r="B36" s="293"/>
      <c r="C36" s="7" t="s">
        <v>143</v>
      </c>
      <c r="D36" s="7" t="s">
        <v>144</v>
      </c>
      <c r="E36" s="7" t="s">
        <v>145</v>
      </c>
      <c r="F36" s="7"/>
      <c r="G36" s="7">
        <v>1.5245313613124967</v>
      </c>
      <c r="H36" s="7">
        <v>0.80073335518342437</v>
      </c>
      <c r="I36" s="7">
        <v>0.83746843256447934</v>
      </c>
      <c r="J36" s="6">
        <v>1.4360432109387011</v>
      </c>
      <c r="K36" s="7">
        <v>1.0377574932920675</v>
      </c>
      <c r="L36" s="7">
        <v>1.0222454839469268</v>
      </c>
      <c r="M36" s="7">
        <v>0.85529195385742918</v>
      </c>
      <c r="N36" s="7">
        <v>0.65958789862370848</v>
      </c>
      <c r="O36" s="7">
        <v>1.0432033827672182</v>
      </c>
      <c r="P36" s="7">
        <v>0.97342364555717686</v>
      </c>
      <c r="Q36" s="7">
        <v>1.1320297023472368</v>
      </c>
      <c r="R36" s="7">
        <v>1.2815087284463602</v>
      </c>
      <c r="S36" s="7">
        <v>0.96662922926928074</v>
      </c>
      <c r="T36" s="7"/>
      <c r="U36" s="7"/>
      <c r="V36" s="7"/>
      <c r="W36" s="7"/>
      <c r="X36" s="7"/>
      <c r="Y36" s="7"/>
      <c r="Z36" s="7"/>
      <c r="AA36" s="7"/>
      <c r="AB36" s="7"/>
      <c r="AC36" s="7"/>
    </row>
    <row r="37" spans="2:29" ht="19.5" thickBot="1">
      <c r="B37" s="294"/>
      <c r="C37" s="10" t="s">
        <v>146</v>
      </c>
      <c r="D37" s="10" t="s">
        <v>147</v>
      </c>
      <c r="E37" s="10" t="s">
        <v>148</v>
      </c>
      <c r="F37" s="10"/>
      <c r="G37" s="10">
        <v>-0.17199437876583865</v>
      </c>
      <c r="H37" s="10">
        <v>-2.2032271253554433E-3</v>
      </c>
      <c r="I37" s="10">
        <v>-0.28010179717063205</v>
      </c>
      <c r="J37" s="11">
        <v>-0.5018358811952609</v>
      </c>
      <c r="K37" s="10">
        <v>-0.57805363370660279</v>
      </c>
      <c r="L37" s="10">
        <v>-0.65128744152501072</v>
      </c>
      <c r="M37" s="10">
        <v>-0.94594713681692288</v>
      </c>
      <c r="N37" s="10">
        <v>-1.361712510409832</v>
      </c>
      <c r="O37" s="10">
        <v>-2.5882887143491735</v>
      </c>
      <c r="P37" s="10">
        <v>-2.0481021907093688</v>
      </c>
      <c r="Q37" s="10">
        <v>-2.3150464167749276</v>
      </c>
      <c r="R37" s="10">
        <v>-1.6910095810387213</v>
      </c>
      <c r="S37" s="10">
        <v>-0.92332880559383013</v>
      </c>
      <c r="T37" s="10"/>
      <c r="U37" s="10"/>
      <c r="V37" s="10"/>
      <c r="W37" s="10"/>
      <c r="X37" s="10"/>
      <c r="Y37" s="10"/>
      <c r="Z37" s="10"/>
      <c r="AA37" s="10"/>
      <c r="AB37" s="10"/>
      <c r="AC37" s="10"/>
    </row>
    <row r="38" spans="2:29" ht="19.5" thickTop="1">
      <c r="B38" s="296" t="s">
        <v>149</v>
      </c>
      <c r="C38" s="17" t="s">
        <v>125</v>
      </c>
      <c r="D38" s="17" t="s">
        <v>126</v>
      </c>
      <c r="E38" s="17" t="s">
        <v>98</v>
      </c>
      <c r="F38" s="17"/>
      <c r="G38" s="17">
        <v>2.8000000000000003</v>
      </c>
      <c r="H38" s="17">
        <v>2.8000000000000003</v>
      </c>
      <c r="I38" s="17">
        <v>2.8000000000000003</v>
      </c>
      <c r="J38" s="12">
        <v>2.2000000000000002</v>
      </c>
      <c r="K38" s="17">
        <v>2.88</v>
      </c>
      <c r="L38" s="17">
        <v>2.88</v>
      </c>
      <c r="M38" s="17">
        <v>2.88</v>
      </c>
      <c r="N38" s="17">
        <v>2.2000000000000002</v>
      </c>
      <c r="O38" s="17">
        <v>2.2000000000000002</v>
      </c>
      <c r="P38" s="17">
        <v>2.4000000000000004</v>
      </c>
      <c r="Q38" s="17">
        <v>2.2000000000000002</v>
      </c>
      <c r="R38" s="17">
        <v>2.2000000000000002</v>
      </c>
      <c r="S38" s="17">
        <v>2.2000000000000002</v>
      </c>
      <c r="T38" s="17"/>
      <c r="U38" s="17"/>
      <c r="V38" s="17"/>
      <c r="W38" s="17"/>
      <c r="X38" s="17"/>
      <c r="Y38" s="17"/>
      <c r="Z38" s="17"/>
      <c r="AA38" s="17"/>
      <c r="AB38" s="17"/>
      <c r="AC38" s="17"/>
    </row>
    <row r="39" spans="2:29">
      <c r="B39" s="293"/>
      <c r="C39" s="7" t="s">
        <v>127</v>
      </c>
      <c r="D39" s="7" t="s">
        <v>128</v>
      </c>
      <c r="E39" s="7" t="s">
        <v>77</v>
      </c>
      <c r="F39" s="7"/>
      <c r="G39" s="7">
        <v>4.1791044776119408</v>
      </c>
      <c r="H39" s="7">
        <v>4.3076923076923084</v>
      </c>
      <c r="I39" s="7">
        <v>5.0909090909090917</v>
      </c>
      <c r="J39" s="6">
        <v>3.5772357723577244</v>
      </c>
      <c r="K39" s="7">
        <v>4.9655172413793105</v>
      </c>
      <c r="L39" s="7">
        <v>5.4339622641509431</v>
      </c>
      <c r="M39" s="7">
        <v>5.3595244249159997</v>
      </c>
      <c r="N39" s="7">
        <v>3.5200000000000005</v>
      </c>
      <c r="O39" s="7">
        <v>3.859649122807018</v>
      </c>
      <c r="P39" s="7">
        <v>4.2477876106194703</v>
      </c>
      <c r="Q39" s="7">
        <v>3.859649122807018</v>
      </c>
      <c r="R39" s="7">
        <v>3.859649122807018</v>
      </c>
      <c r="S39" s="7">
        <v>3.859649122807018</v>
      </c>
      <c r="T39" s="7"/>
      <c r="U39" s="7"/>
      <c r="V39" s="7"/>
      <c r="W39" s="7"/>
      <c r="X39" s="7"/>
      <c r="Y39" s="7"/>
      <c r="Z39" s="7"/>
      <c r="AA39" s="7"/>
      <c r="AB39" s="7"/>
      <c r="AC39" s="7"/>
    </row>
    <row r="40" spans="2:29">
      <c r="B40" s="293"/>
      <c r="C40" s="7" t="s">
        <v>129</v>
      </c>
      <c r="D40" s="7" t="s">
        <v>130</v>
      </c>
      <c r="E40" s="7" t="s">
        <v>98</v>
      </c>
      <c r="F40" s="7"/>
      <c r="G40" s="7">
        <v>0.66999999999999993</v>
      </c>
      <c r="H40" s="7">
        <v>0.65</v>
      </c>
      <c r="I40" s="7">
        <v>0.55593692022263463</v>
      </c>
      <c r="J40" s="6">
        <v>0.6150000000000001</v>
      </c>
      <c r="K40" s="7">
        <v>0.57999999999999996</v>
      </c>
      <c r="L40" s="7">
        <v>0.52999999999999992</v>
      </c>
      <c r="M40" s="7">
        <v>0.59857456707159462</v>
      </c>
      <c r="N40" s="7">
        <v>0.68353719008264457</v>
      </c>
      <c r="O40" s="7">
        <v>0.62370305930114567</v>
      </c>
      <c r="P40" s="7">
        <v>0.61433894624713203</v>
      </c>
      <c r="Q40" s="7">
        <v>0.62370305930114567</v>
      </c>
      <c r="R40" s="7">
        <v>0.62370305930114567</v>
      </c>
      <c r="S40" s="7">
        <v>0.62370305930114567</v>
      </c>
      <c r="T40" s="7"/>
      <c r="U40" s="7"/>
      <c r="V40" s="7"/>
      <c r="W40" s="7"/>
      <c r="X40" s="7"/>
      <c r="Y40" s="7"/>
      <c r="Z40" s="7"/>
      <c r="AA40" s="7"/>
      <c r="AB40" s="7"/>
      <c r="AC40" s="7"/>
    </row>
    <row r="41" spans="2:29">
      <c r="B41" s="293"/>
      <c r="C41" s="7" t="s">
        <v>131</v>
      </c>
      <c r="D41" s="7" t="s">
        <v>132</v>
      </c>
      <c r="E41" s="7" t="s">
        <v>98</v>
      </c>
      <c r="F41" s="7"/>
      <c r="G41" s="7">
        <v>-0.70000000000000018</v>
      </c>
      <c r="H41" s="7">
        <v>-0.70000000000000007</v>
      </c>
      <c r="I41" s="7">
        <v>-0.65844155844155861</v>
      </c>
      <c r="J41" s="6">
        <v>-0.55000000000000004</v>
      </c>
      <c r="K41" s="7">
        <v>-0.72000000000000008</v>
      </c>
      <c r="L41" s="7">
        <v>-0.7200000000000002</v>
      </c>
      <c r="M41" s="7">
        <v>0.69998449211682623</v>
      </c>
      <c r="N41" s="7">
        <v>0.53545454545454541</v>
      </c>
      <c r="O41" s="7">
        <v>0.53405103668261578</v>
      </c>
      <c r="P41" s="7">
        <v>0.58066617502458218</v>
      </c>
      <c r="Q41" s="7">
        <v>0.53405103668261578</v>
      </c>
      <c r="R41" s="7">
        <v>0.53405103668261578</v>
      </c>
      <c r="S41" s="7">
        <v>0.53405103668261578</v>
      </c>
      <c r="T41" s="7"/>
      <c r="U41" s="7"/>
      <c r="V41" s="7"/>
      <c r="W41" s="7"/>
      <c r="X41" s="7"/>
      <c r="Y41" s="7"/>
      <c r="Z41" s="7"/>
      <c r="AA41" s="7"/>
      <c r="AB41" s="7"/>
      <c r="AC41" s="7"/>
    </row>
    <row r="42" spans="2:29">
      <c r="B42" s="293"/>
      <c r="C42" s="7" t="s">
        <v>133</v>
      </c>
      <c r="D42" s="7" t="s">
        <v>134</v>
      </c>
      <c r="E42" s="7" t="s">
        <v>77</v>
      </c>
      <c r="F42" s="7"/>
      <c r="G42" s="7">
        <v>0.25</v>
      </c>
      <c r="H42" s="7">
        <v>0.25</v>
      </c>
      <c r="I42" s="7">
        <v>0.25</v>
      </c>
      <c r="J42" s="6">
        <v>0.25</v>
      </c>
      <c r="K42" s="7">
        <v>0.25</v>
      </c>
      <c r="L42" s="7">
        <v>0.25</v>
      </c>
      <c r="M42" s="7">
        <v>0.25</v>
      </c>
      <c r="N42" s="7">
        <v>0.25</v>
      </c>
      <c r="O42" s="7">
        <v>0.25</v>
      </c>
      <c r="P42" s="7">
        <v>0.25</v>
      </c>
      <c r="Q42" s="7">
        <v>0.25</v>
      </c>
      <c r="R42" s="7">
        <v>0.25</v>
      </c>
      <c r="S42" s="7">
        <v>0.25</v>
      </c>
      <c r="T42" s="7"/>
      <c r="U42" s="7"/>
      <c r="V42" s="7"/>
      <c r="W42" s="7"/>
      <c r="X42" s="7"/>
      <c r="Y42" s="7"/>
      <c r="Z42" s="7"/>
      <c r="AA42" s="7"/>
      <c r="AB42" s="7"/>
      <c r="AC42" s="7"/>
    </row>
    <row r="43" spans="2:29">
      <c r="B43" s="293"/>
      <c r="C43" s="7" t="s">
        <v>135</v>
      </c>
      <c r="D43" s="7" t="s">
        <v>136</v>
      </c>
      <c r="E43" s="7" t="s">
        <v>77</v>
      </c>
      <c r="F43" s="7"/>
      <c r="G43" s="7">
        <v>1.0636724387119925</v>
      </c>
      <c r="H43" s="7">
        <v>1.0626935529071579</v>
      </c>
      <c r="I43" s="7">
        <v>1.0682092392323017</v>
      </c>
      <c r="J43" s="6">
        <v>1.0449706976611999</v>
      </c>
      <c r="K43" s="7">
        <v>1.0440102521550767</v>
      </c>
      <c r="L43" s="7">
        <v>1.0414860681499853</v>
      </c>
      <c r="M43" s="7">
        <v>1.0393368682673272</v>
      </c>
      <c r="N43" s="7">
        <v>1.0431606651390797</v>
      </c>
      <c r="O43" s="7">
        <v>1.0425708010062988</v>
      </c>
      <c r="P43" s="7">
        <v>1.0381114983534576</v>
      </c>
      <c r="Q43" s="7">
        <v>1.0425708010062988</v>
      </c>
      <c r="R43" s="7">
        <v>1.0425708010062993</v>
      </c>
      <c r="S43" s="7">
        <v>1.0425708010062988</v>
      </c>
      <c r="T43" s="7"/>
      <c r="U43" s="7"/>
      <c r="V43" s="7"/>
      <c r="W43" s="7"/>
      <c r="X43" s="7"/>
      <c r="Y43" s="7"/>
      <c r="Z43" s="7"/>
      <c r="AA43" s="7"/>
      <c r="AB43" s="7"/>
      <c r="AC43" s="7"/>
    </row>
    <row r="44" spans="2:29" ht="19.5" thickBot="1">
      <c r="B44" s="294"/>
      <c r="C44" s="10" t="s">
        <v>141</v>
      </c>
      <c r="D44" s="10" t="s">
        <v>77</v>
      </c>
      <c r="E44" s="10" t="s">
        <v>142</v>
      </c>
      <c r="F44" s="10"/>
      <c r="G44" s="10">
        <v>0.36</v>
      </c>
      <c r="H44" s="10">
        <v>0.36</v>
      </c>
      <c r="I44" s="10">
        <v>0.36</v>
      </c>
      <c r="J44" s="11">
        <v>0.36</v>
      </c>
      <c r="K44" s="10">
        <v>0.36</v>
      </c>
      <c r="L44" s="10">
        <v>0.36</v>
      </c>
      <c r="M44" s="10">
        <v>0.36</v>
      </c>
      <c r="N44" s="10">
        <v>0.36</v>
      </c>
      <c r="O44" s="10">
        <v>0.36</v>
      </c>
      <c r="P44" s="10">
        <v>0.36</v>
      </c>
      <c r="Q44" s="10">
        <v>0.36</v>
      </c>
      <c r="R44" s="10">
        <v>0.36</v>
      </c>
      <c r="S44" s="10">
        <v>0.36</v>
      </c>
      <c r="T44" s="10"/>
      <c r="U44" s="10"/>
      <c r="V44" s="10"/>
      <c r="W44" s="10"/>
      <c r="X44" s="10"/>
      <c r="Y44" s="10"/>
      <c r="Z44" s="10"/>
      <c r="AA44" s="10"/>
      <c r="AB44" s="10"/>
      <c r="AC44" s="10"/>
    </row>
    <row r="45" spans="2:29" ht="19.5" thickTop="1">
      <c r="B45" s="293" t="s">
        <v>150</v>
      </c>
      <c r="C45" s="7" t="s">
        <v>125</v>
      </c>
      <c r="D45" s="7" t="s">
        <v>126</v>
      </c>
      <c r="E45" s="7" t="s">
        <v>98</v>
      </c>
      <c r="F45" s="7"/>
      <c r="G45" s="7">
        <v>0.87</v>
      </c>
      <c r="H45" s="7">
        <v>0.85</v>
      </c>
      <c r="I45" s="7">
        <v>0.85</v>
      </c>
      <c r="J45" s="12">
        <v>0.8</v>
      </c>
      <c r="K45" s="7">
        <v>0.8</v>
      </c>
      <c r="L45" s="7">
        <v>0.8</v>
      </c>
      <c r="M45" s="7">
        <v>1</v>
      </c>
      <c r="N45" s="7">
        <v>1.1000000000000001</v>
      </c>
      <c r="O45" s="7">
        <v>0.8</v>
      </c>
      <c r="P45" s="7">
        <v>0.8</v>
      </c>
      <c r="Q45" s="7">
        <v>0.8</v>
      </c>
      <c r="R45" s="7">
        <v>0.8</v>
      </c>
      <c r="S45" s="7">
        <v>0.8</v>
      </c>
      <c r="T45" s="7"/>
      <c r="U45" s="7"/>
      <c r="V45" s="7"/>
      <c r="W45" s="7"/>
      <c r="X45" s="7"/>
      <c r="Y45" s="7"/>
      <c r="Z45" s="7"/>
      <c r="AA45" s="7"/>
      <c r="AB45" s="7"/>
      <c r="AC45" s="7"/>
    </row>
    <row r="46" spans="2:29">
      <c r="B46" s="293"/>
      <c r="C46" s="7" t="s">
        <v>127</v>
      </c>
      <c r="D46" s="7" t="s">
        <v>128</v>
      </c>
      <c r="E46" s="7" t="s">
        <v>77</v>
      </c>
      <c r="F46" s="7"/>
      <c r="G46" s="7">
        <v>1.1447368421052633</v>
      </c>
      <c r="H46" s="7">
        <v>1.0303030303030303</v>
      </c>
      <c r="I46" s="7">
        <v>1.0303030303030303</v>
      </c>
      <c r="J46" s="6">
        <v>1.0223642172523961</v>
      </c>
      <c r="K46" s="7">
        <v>1.0107391029690462</v>
      </c>
      <c r="L46" s="7">
        <v>1.0107391029690462</v>
      </c>
      <c r="M46" s="7">
        <v>1.8016792280563554</v>
      </c>
      <c r="N46" s="7">
        <v>2.1228070175438596</v>
      </c>
      <c r="O46" s="7">
        <v>1.6</v>
      </c>
      <c r="P46" s="7">
        <v>1.7777777777777777</v>
      </c>
      <c r="Q46" s="7">
        <v>1.6</v>
      </c>
      <c r="R46" s="7">
        <v>1.6</v>
      </c>
      <c r="S46" s="7">
        <v>1.6</v>
      </c>
      <c r="T46" s="7"/>
      <c r="U46" s="7"/>
      <c r="V46" s="7"/>
      <c r="W46" s="7"/>
      <c r="X46" s="7"/>
      <c r="Y46" s="7"/>
      <c r="Z46" s="7"/>
      <c r="AA46" s="7"/>
      <c r="AB46" s="7"/>
      <c r="AC46" s="7"/>
    </row>
    <row r="47" spans="2:29">
      <c r="B47" s="293"/>
      <c r="C47" s="7" t="s">
        <v>129</v>
      </c>
      <c r="D47" s="7" t="s">
        <v>130</v>
      </c>
      <c r="E47" s="7" t="s">
        <v>98</v>
      </c>
      <c r="F47" s="7"/>
      <c r="G47" s="7">
        <v>0.76355216221290456</v>
      </c>
      <c r="H47" s="7">
        <v>0.83131225752333027</v>
      </c>
      <c r="I47" s="7">
        <v>0.83131225752333027</v>
      </c>
      <c r="J47" s="6">
        <v>0.78608788438498378</v>
      </c>
      <c r="K47" s="7">
        <v>0.79512419555432723</v>
      </c>
      <c r="L47" s="7">
        <v>0.79512419555432723</v>
      </c>
      <c r="M47" s="7">
        <v>0.60333136917444674</v>
      </c>
      <c r="N47" s="7">
        <v>0.56002506265664143</v>
      </c>
      <c r="O47" s="7">
        <v>0.57187500000000002</v>
      </c>
      <c r="P47" s="7">
        <v>0.52968749999999987</v>
      </c>
      <c r="Q47" s="7">
        <v>0.57187500000000002</v>
      </c>
      <c r="R47" s="7">
        <v>0.57187500000000002</v>
      </c>
      <c r="S47" s="7">
        <v>0.57187500000000002</v>
      </c>
      <c r="T47" s="7"/>
      <c r="U47" s="7"/>
      <c r="V47" s="7"/>
      <c r="W47" s="7"/>
      <c r="X47" s="7"/>
      <c r="Y47" s="7"/>
      <c r="Z47" s="7"/>
      <c r="AA47" s="7"/>
      <c r="AB47" s="7"/>
      <c r="AC47" s="7"/>
    </row>
    <row r="48" spans="2:29" ht="19.5" thickBot="1">
      <c r="B48" s="294"/>
      <c r="C48" s="10" t="s">
        <v>131</v>
      </c>
      <c r="D48" s="10" t="s">
        <v>132</v>
      </c>
      <c r="E48" s="10" t="s">
        <v>98</v>
      </c>
      <c r="F48" s="10"/>
      <c r="G48" s="10">
        <v>0.4178312159709619</v>
      </c>
      <c r="H48" s="10">
        <v>0.40353832442067739</v>
      </c>
      <c r="I48" s="10">
        <v>0.40353832442067739</v>
      </c>
      <c r="J48" s="11">
        <v>0.38448482428115011</v>
      </c>
      <c r="K48" s="10">
        <v>0.38449542008843973</v>
      </c>
      <c r="L48" s="10">
        <v>0.38449542008843973</v>
      </c>
      <c r="M48" s="10">
        <v>0.51590672944377791</v>
      </c>
      <c r="N48" s="10">
        <v>0.52105263157894732</v>
      </c>
      <c r="O48" s="10">
        <v>0.37375000000000003</v>
      </c>
      <c r="P48" s="10">
        <v>0.35624999999999996</v>
      </c>
      <c r="Q48" s="10">
        <v>0.37375000000000003</v>
      </c>
      <c r="R48" s="10">
        <v>0.37375000000000003</v>
      </c>
      <c r="S48" s="10">
        <v>0.37375000000000003</v>
      </c>
      <c r="T48" s="10"/>
      <c r="U48" s="10"/>
      <c r="V48" s="10"/>
      <c r="W48" s="10"/>
      <c r="X48" s="10"/>
      <c r="Y48" s="10"/>
      <c r="Z48" s="10"/>
      <c r="AA48" s="10"/>
      <c r="AB48" s="10"/>
      <c r="AC48" s="10"/>
    </row>
    <row r="49" spans="2:29" ht="19.5" thickTop="1">
      <c r="B49" s="293" t="s">
        <v>151</v>
      </c>
      <c r="C49" s="7" t="s">
        <v>152</v>
      </c>
      <c r="D49" s="7" t="s">
        <v>153</v>
      </c>
      <c r="E49" s="7" t="s">
        <v>77</v>
      </c>
      <c r="F49" s="7"/>
      <c r="G49" s="7">
        <v>0.39621674317192196</v>
      </c>
      <c r="H49" s="7">
        <v>0.36675363349632467</v>
      </c>
      <c r="I49" s="7">
        <v>0.3695513620523892</v>
      </c>
      <c r="J49" s="12">
        <v>0.3913694173202345</v>
      </c>
      <c r="K49" s="7">
        <v>0.35378435870142183</v>
      </c>
      <c r="L49" s="7">
        <v>0.34387179305970833</v>
      </c>
      <c r="M49" s="7">
        <v>0.3607711533983225</v>
      </c>
      <c r="N49" s="7">
        <v>0.41827101965108376</v>
      </c>
      <c r="O49" s="7">
        <v>0.41635996685508009</v>
      </c>
      <c r="P49" s="7">
        <v>0.38807007439517721</v>
      </c>
      <c r="Q49" s="7">
        <v>0.41202211795625671</v>
      </c>
      <c r="R49" s="7">
        <v>0.40980390739689798</v>
      </c>
      <c r="S49" s="7">
        <v>0.40768264772815699</v>
      </c>
      <c r="T49" s="7">
        <v>0.40899999999999997</v>
      </c>
      <c r="U49" s="7">
        <v>0.36199999999999999</v>
      </c>
      <c r="V49" s="7">
        <v>0.36099999999999999</v>
      </c>
      <c r="W49" s="7">
        <v>0.39600000000000002</v>
      </c>
      <c r="X49" s="7">
        <v>0.39</v>
      </c>
      <c r="Y49" s="7">
        <v>0.39</v>
      </c>
      <c r="Z49" s="7">
        <v>0.4</v>
      </c>
      <c r="AA49" s="7">
        <v>0.39</v>
      </c>
      <c r="AB49" s="7">
        <v>0.4</v>
      </c>
      <c r="AC49" s="7">
        <v>0.4</v>
      </c>
    </row>
    <row r="50" spans="2:29">
      <c r="B50" s="293"/>
      <c r="C50" s="7"/>
      <c r="D50" s="7" t="s">
        <v>154</v>
      </c>
      <c r="E50" s="7" t="s">
        <v>77</v>
      </c>
      <c r="F50" s="7"/>
      <c r="G50" s="7" t="s">
        <v>77</v>
      </c>
      <c r="H50" s="7" t="s">
        <v>77</v>
      </c>
      <c r="I50" s="7" t="s">
        <v>77</v>
      </c>
      <c r="J50" s="6" t="s">
        <v>77</v>
      </c>
      <c r="K50" s="7" t="s">
        <v>77</v>
      </c>
      <c r="L50" s="7" t="s">
        <v>77</v>
      </c>
      <c r="M50" s="7">
        <v>0.36695301325928892</v>
      </c>
      <c r="N50" s="7">
        <v>0.42384446284524346</v>
      </c>
      <c r="O50" s="7">
        <v>0.42136675135808244</v>
      </c>
      <c r="P50" s="7">
        <v>0.39366384135574523</v>
      </c>
      <c r="Q50" s="7">
        <v>0.41699444196109253</v>
      </c>
      <c r="R50" s="7">
        <v>0.41470608049370705</v>
      </c>
      <c r="S50" s="7">
        <v>0.41262328955772543</v>
      </c>
      <c r="T50" s="7"/>
      <c r="U50" s="7"/>
      <c r="V50" s="7"/>
      <c r="W50" s="7"/>
      <c r="X50" s="7"/>
      <c r="Y50" s="7"/>
      <c r="Z50" s="7"/>
      <c r="AA50" s="7"/>
      <c r="AB50" s="7"/>
      <c r="AC50" s="7"/>
    </row>
    <row r="51" spans="2:29">
      <c r="B51" s="293"/>
      <c r="C51" s="7" t="s">
        <v>155</v>
      </c>
      <c r="D51" s="7" t="s">
        <v>156</v>
      </c>
      <c r="E51" s="7" t="s">
        <v>77</v>
      </c>
      <c r="F51" s="7"/>
      <c r="G51" s="7">
        <v>4.7162455260050477E-3</v>
      </c>
      <c r="H51" s="7">
        <v>5.056622058784585E-3</v>
      </c>
      <c r="I51" s="7">
        <v>5.1677648361201567E-3</v>
      </c>
      <c r="J51" s="6">
        <v>5.259278978381356E-3</v>
      </c>
      <c r="K51" s="7">
        <v>4.1362768601852541E-3</v>
      </c>
      <c r="L51" s="7">
        <v>4.0340911854252481E-3</v>
      </c>
      <c r="M51" s="7">
        <v>3.659791094887305E-3</v>
      </c>
      <c r="N51" s="7">
        <v>4.3285221790316779E-3</v>
      </c>
      <c r="O51" s="7">
        <v>3.0531623930240884E-3</v>
      </c>
      <c r="P51" s="7">
        <v>3.5247513864828297E-3</v>
      </c>
      <c r="Q51" s="7">
        <v>3.0471531926554761E-3</v>
      </c>
      <c r="R51" s="7">
        <v>2.8782743426983997E-3</v>
      </c>
      <c r="S51" s="7">
        <v>3.0233291045002851E-3</v>
      </c>
      <c r="T51" s="7">
        <v>3.1900000000000001E-3</v>
      </c>
      <c r="U51" s="7">
        <v>3.0999999999999999E-3</v>
      </c>
      <c r="V51" s="7">
        <v>3.0100000000000001E-3</v>
      </c>
      <c r="W51" s="7">
        <v>5.8500000000000002E-3</v>
      </c>
      <c r="X51" s="7">
        <v>6.1999999999999998E-3</v>
      </c>
      <c r="Y51" s="7">
        <v>8.0000000000000002E-3</v>
      </c>
      <c r="Z51" s="7">
        <v>9.1999999999999998E-3</v>
      </c>
      <c r="AA51" s="7">
        <v>8.3000000000000001E-3</v>
      </c>
      <c r="AB51" s="7">
        <v>0.01</v>
      </c>
      <c r="AC51" s="7">
        <v>0.01</v>
      </c>
    </row>
    <row r="52" spans="2:29">
      <c r="B52" s="293"/>
      <c r="C52" s="7" t="s">
        <v>77</v>
      </c>
      <c r="D52" s="7" t="s">
        <v>157</v>
      </c>
      <c r="E52" s="7" t="s">
        <v>77</v>
      </c>
      <c r="F52" s="7"/>
      <c r="G52" s="7">
        <v>0</v>
      </c>
      <c r="H52" s="7">
        <v>0</v>
      </c>
      <c r="I52" s="7">
        <v>0</v>
      </c>
      <c r="J52" s="6">
        <v>0</v>
      </c>
      <c r="K52" s="7">
        <v>0</v>
      </c>
      <c r="L52" s="7">
        <v>0</v>
      </c>
      <c r="M52" s="7">
        <v>0.10032884463362519</v>
      </c>
      <c r="N52" s="7">
        <v>0.11394833660771307</v>
      </c>
      <c r="O52" s="7">
        <v>0.10149184283126518</v>
      </c>
      <c r="P52" s="7">
        <v>0.10753364333094993</v>
      </c>
      <c r="Q52" s="7">
        <v>0.10452438315017795</v>
      </c>
      <c r="R52" s="7">
        <v>9.8955473379635589E-2</v>
      </c>
      <c r="S52" s="7">
        <v>0.10347690766316585</v>
      </c>
      <c r="T52" s="7"/>
      <c r="U52" s="7"/>
      <c r="V52" s="7"/>
      <c r="W52" s="7"/>
      <c r="X52" s="7"/>
      <c r="Y52" s="7"/>
      <c r="Z52" s="7"/>
      <c r="AA52" s="7"/>
      <c r="AB52" s="7"/>
      <c r="AC52" s="7"/>
    </row>
    <row r="53" spans="2:29" ht="19.5" thickBot="1">
      <c r="B53" s="294"/>
      <c r="C53" s="10" t="s">
        <v>158</v>
      </c>
      <c r="D53" s="10" t="s">
        <v>77</v>
      </c>
      <c r="E53" s="10" t="s">
        <v>77</v>
      </c>
      <c r="F53" s="10"/>
      <c r="G53" s="10" t="s">
        <v>159</v>
      </c>
      <c r="H53" s="10" t="s">
        <v>159</v>
      </c>
      <c r="I53" s="10" t="s">
        <v>159</v>
      </c>
      <c r="J53" s="11" t="s">
        <v>159</v>
      </c>
      <c r="K53" s="10" t="s">
        <v>159</v>
      </c>
      <c r="L53" s="10" t="s">
        <v>159</v>
      </c>
      <c r="M53" s="10" t="s">
        <v>160</v>
      </c>
      <c r="N53" s="10" t="s">
        <v>160</v>
      </c>
      <c r="O53" s="10" t="s">
        <v>160</v>
      </c>
      <c r="P53" s="10" t="s">
        <v>160</v>
      </c>
      <c r="Q53" s="10" t="s">
        <v>160</v>
      </c>
      <c r="R53" s="10" t="s">
        <v>160</v>
      </c>
      <c r="S53" s="10" t="s">
        <v>160</v>
      </c>
      <c r="T53" s="10"/>
      <c r="U53" s="10"/>
      <c r="V53" s="10"/>
      <c r="W53" s="10"/>
      <c r="X53" s="10"/>
      <c r="Y53" s="10"/>
      <c r="Z53" s="10"/>
      <c r="AA53" s="10"/>
      <c r="AB53" s="10"/>
      <c r="AC53" s="10"/>
    </row>
    <row r="54" spans="2:29" ht="19.5" thickTop="1">
      <c r="B54" s="293" t="s">
        <v>161</v>
      </c>
      <c r="C54" s="7" t="s">
        <v>162</v>
      </c>
      <c r="D54" s="7" t="s">
        <v>163</v>
      </c>
      <c r="E54" s="7" t="s">
        <v>98</v>
      </c>
      <c r="F54" s="7"/>
      <c r="G54" s="7">
        <v>3.7</v>
      </c>
      <c r="H54" s="7">
        <v>3.5</v>
      </c>
      <c r="I54" s="7">
        <v>3.2</v>
      </c>
      <c r="J54" s="12">
        <v>4.2</v>
      </c>
      <c r="K54" s="7">
        <v>3.2</v>
      </c>
      <c r="L54" s="7">
        <v>3.2</v>
      </c>
      <c r="M54" s="7">
        <v>3.2</v>
      </c>
      <c r="N54" s="7">
        <v>4.2</v>
      </c>
      <c r="O54" s="7">
        <v>4.5</v>
      </c>
      <c r="P54" s="7">
        <v>3.75</v>
      </c>
      <c r="Q54" s="7">
        <v>4.5</v>
      </c>
      <c r="R54" s="7">
        <v>4.5</v>
      </c>
      <c r="S54" s="7">
        <v>4.5</v>
      </c>
      <c r="T54" s="7"/>
      <c r="U54" s="7"/>
      <c r="V54" s="7"/>
      <c r="W54" s="7"/>
      <c r="X54" s="7"/>
      <c r="Y54" s="7"/>
      <c r="Z54" s="7"/>
      <c r="AA54" s="7"/>
      <c r="AB54" s="7"/>
      <c r="AC54" s="7"/>
    </row>
    <row r="55" spans="2:29">
      <c r="B55" s="293"/>
      <c r="C55" s="7" t="s">
        <v>164</v>
      </c>
      <c r="D55" s="7" t="s">
        <v>165</v>
      </c>
      <c r="E55" s="7" t="s">
        <v>98</v>
      </c>
      <c r="F55" s="7"/>
      <c r="G55" s="7" t="s">
        <v>77</v>
      </c>
      <c r="H55" s="7" t="s">
        <v>77</v>
      </c>
      <c r="I55" s="7" t="s">
        <v>77</v>
      </c>
      <c r="J55" s="6" t="s">
        <v>77</v>
      </c>
      <c r="K55" s="7" t="s">
        <v>77</v>
      </c>
      <c r="L55" s="7" t="s">
        <v>77</v>
      </c>
      <c r="M55" s="7">
        <v>3.2548324093230696</v>
      </c>
      <c r="N55" s="7">
        <v>4.2559648178231377</v>
      </c>
      <c r="O55" s="7">
        <v>4.5541131041816811</v>
      </c>
      <c r="P55" s="7">
        <v>3.80405370701367</v>
      </c>
      <c r="Q55" s="7">
        <v>4.5543064487235529</v>
      </c>
      <c r="R55" s="7">
        <v>4.5538300844317616</v>
      </c>
      <c r="S55" s="7">
        <v>4.5545347916006547</v>
      </c>
      <c r="T55" s="7"/>
      <c r="U55" s="7"/>
      <c r="V55" s="7"/>
      <c r="W55" s="7"/>
      <c r="X55" s="7"/>
      <c r="Y55" s="7"/>
      <c r="Z55" s="7"/>
      <c r="AA55" s="7"/>
      <c r="AB55" s="7"/>
      <c r="AC55" s="7"/>
    </row>
    <row r="56" spans="2:29">
      <c r="B56" s="293"/>
      <c r="C56" s="7" t="s">
        <v>166</v>
      </c>
      <c r="D56" s="7" t="s">
        <v>167</v>
      </c>
      <c r="E56" s="7" t="s">
        <v>98</v>
      </c>
      <c r="F56" s="7"/>
      <c r="G56" s="7">
        <v>3.7</v>
      </c>
      <c r="H56" s="7">
        <v>3.5</v>
      </c>
      <c r="I56" s="7">
        <v>3.2</v>
      </c>
      <c r="J56" s="6">
        <v>4.2</v>
      </c>
      <c r="K56" s="7">
        <v>3.2</v>
      </c>
      <c r="L56" s="7">
        <v>3.2</v>
      </c>
      <c r="M56" s="7">
        <v>3.2</v>
      </c>
      <c r="N56" s="7">
        <v>3.45</v>
      </c>
      <c r="O56" s="7">
        <v>3.75</v>
      </c>
      <c r="P56" s="7">
        <v>4.5</v>
      </c>
      <c r="Q56" s="7">
        <v>3.75</v>
      </c>
      <c r="R56" s="7">
        <v>3.75</v>
      </c>
      <c r="S56" s="7">
        <v>3.75</v>
      </c>
      <c r="T56" s="7"/>
      <c r="U56" s="7"/>
      <c r="V56" s="7"/>
      <c r="W56" s="7"/>
      <c r="X56" s="7"/>
      <c r="Y56" s="7"/>
      <c r="Z56" s="7"/>
      <c r="AA56" s="7"/>
      <c r="AB56" s="7"/>
      <c r="AC56" s="7"/>
    </row>
    <row r="57" spans="2:29">
      <c r="B57" s="293"/>
      <c r="C57" s="7" t="s">
        <v>168</v>
      </c>
      <c r="D57" s="7" t="s">
        <v>169</v>
      </c>
      <c r="E57" s="7" t="s">
        <v>98</v>
      </c>
      <c r="F57" s="7"/>
      <c r="G57" s="7">
        <v>0.12927686396112587</v>
      </c>
      <c r="H57" s="7">
        <v>0.16361781692544541</v>
      </c>
      <c r="I57" s="7">
        <v>0.16455490679366175</v>
      </c>
      <c r="J57" s="6">
        <v>0.10070403091109648</v>
      </c>
      <c r="K57" s="7">
        <v>0.12044869884135007</v>
      </c>
      <c r="L57" s="7">
        <v>0.11051224985878627</v>
      </c>
      <c r="M57" s="7">
        <v>0.11820219084383332</v>
      </c>
      <c r="N57" s="7">
        <v>0.1875741278056737</v>
      </c>
      <c r="O57" s="7">
        <v>0.17152108121584228</v>
      </c>
      <c r="P57" s="7">
        <v>0.1772081792590621</v>
      </c>
      <c r="Q57" s="7">
        <v>0.16657640737830182</v>
      </c>
      <c r="R57" s="7">
        <v>0.16211736926818301</v>
      </c>
      <c r="S57" s="7">
        <v>0.17472505579307965</v>
      </c>
      <c r="T57" s="7"/>
      <c r="U57" s="7"/>
      <c r="V57" s="7"/>
      <c r="W57" s="7"/>
      <c r="X57" s="7"/>
      <c r="Y57" s="7"/>
      <c r="Z57" s="7"/>
      <c r="AA57" s="7"/>
      <c r="AB57" s="7"/>
      <c r="AC57" s="7"/>
    </row>
    <row r="58" spans="2:29">
      <c r="B58" s="293"/>
      <c r="C58" s="7" t="s">
        <v>170</v>
      </c>
      <c r="D58" s="7" t="s">
        <v>132</v>
      </c>
      <c r="E58" s="7" t="s">
        <v>98</v>
      </c>
      <c r="F58" s="7"/>
      <c r="G58" s="7">
        <v>0.4178312159709619</v>
      </c>
      <c r="H58" s="7">
        <v>0.40353832442067739</v>
      </c>
      <c r="I58" s="7">
        <v>0.40353832442067739</v>
      </c>
      <c r="J58" s="6">
        <v>0.38448482428115011</v>
      </c>
      <c r="K58" s="7">
        <v>0.38449542008843973</v>
      </c>
      <c r="L58" s="7">
        <v>0.38449542008843973</v>
      </c>
      <c r="M58" s="7">
        <v>0.51590672944377791</v>
      </c>
      <c r="N58" s="7">
        <v>0.52105263157894732</v>
      </c>
      <c r="O58" s="7">
        <v>0.37375000000000003</v>
      </c>
      <c r="P58" s="7">
        <v>0.35624999999999996</v>
      </c>
      <c r="Q58" s="7">
        <v>0.37375000000000003</v>
      </c>
      <c r="R58" s="7">
        <v>0.37375000000000003</v>
      </c>
      <c r="S58" s="7">
        <v>0.37375000000000003</v>
      </c>
      <c r="T58" s="7"/>
      <c r="U58" s="7"/>
      <c r="V58" s="7"/>
      <c r="W58" s="7"/>
      <c r="X58" s="7"/>
      <c r="Y58" s="7"/>
      <c r="Z58" s="7"/>
      <c r="AA58" s="7"/>
      <c r="AB58" s="7"/>
      <c r="AC58" s="7"/>
    </row>
    <row r="59" spans="2:29" ht="19.5" thickBot="1">
      <c r="B59" s="294"/>
      <c r="C59" s="10" t="s">
        <v>171</v>
      </c>
      <c r="D59" s="10" t="s">
        <v>172</v>
      </c>
      <c r="E59" s="10" t="s">
        <v>90</v>
      </c>
      <c r="F59" s="10"/>
      <c r="G59" s="10">
        <v>-1</v>
      </c>
      <c r="H59" s="10">
        <v>-0.45</v>
      </c>
      <c r="I59" s="10">
        <v>-3.6</v>
      </c>
      <c r="J59" s="11">
        <v>-2.94</v>
      </c>
      <c r="K59" s="10">
        <v>-2.5</v>
      </c>
      <c r="L59" s="10">
        <v>-3.3</v>
      </c>
      <c r="M59" s="10">
        <v>-2.4500000000000002</v>
      </c>
      <c r="N59" s="10">
        <v>-3.6</v>
      </c>
      <c r="O59" s="10">
        <v>-2.8</v>
      </c>
      <c r="P59" s="10">
        <v>-2.65</v>
      </c>
      <c r="Q59" s="10">
        <v>-2.4</v>
      </c>
      <c r="R59" s="10">
        <v>-1.1200000000000001</v>
      </c>
      <c r="S59" s="10">
        <v>-0.92</v>
      </c>
      <c r="T59" s="10"/>
      <c r="U59" s="10"/>
      <c r="V59" s="10"/>
      <c r="W59" s="10"/>
      <c r="X59" s="10"/>
      <c r="Y59" s="10"/>
      <c r="Z59" s="10"/>
      <c r="AA59" s="10"/>
      <c r="AB59" s="10"/>
      <c r="AC59" s="10"/>
    </row>
    <row r="60" spans="2:29" ht="19.5" thickTop="1">
      <c r="B60" s="293" t="s">
        <v>173</v>
      </c>
      <c r="C60" s="7" t="s">
        <v>174</v>
      </c>
      <c r="D60" s="7" t="s">
        <v>175</v>
      </c>
      <c r="E60" s="7" t="s">
        <v>77</v>
      </c>
      <c r="F60" s="7"/>
      <c r="G60" s="7">
        <v>1.1136581924332429</v>
      </c>
      <c r="H60" s="7">
        <v>1.1249913400994853</v>
      </c>
      <c r="I60" s="7">
        <v>0.89334209521379149</v>
      </c>
      <c r="J60" s="12">
        <v>0.99518048364603229</v>
      </c>
      <c r="K60" s="7">
        <v>0.80775540451913708</v>
      </c>
      <c r="L60" s="7">
        <v>0.96089613516659922</v>
      </c>
      <c r="M60" s="7">
        <v>1.30602091427374</v>
      </c>
      <c r="N60" s="7">
        <v>0.88960674611935719</v>
      </c>
      <c r="O60" s="7">
        <v>0.69702410295988126</v>
      </c>
      <c r="P60" s="7">
        <v>0.82370987878542834</v>
      </c>
      <c r="Q60" s="7">
        <v>0.80156902974961186</v>
      </c>
      <c r="R60" s="7">
        <v>0.88292500309175725</v>
      </c>
      <c r="S60" s="7">
        <v>1.0035204565390832</v>
      </c>
      <c r="T60" s="7"/>
      <c r="U60" s="7"/>
      <c r="V60" s="7"/>
      <c r="W60" s="7"/>
      <c r="X60" s="7"/>
      <c r="Y60" s="7"/>
      <c r="Z60" s="7"/>
      <c r="AA60" s="7"/>
      <c r="AB60" s="7"/>
      <c r="AC60" s="7"/>
    </row>
    <row r="61" spans="2:29">
      <c r="B61" s="293"/>
      <c r="C61" s="7" t="s">
        <v>176</v>
      </c>
      <c r="D61" s="7" t="s">
        <v>177</v>
      </c>
      <c r="E61" s="7" t="s">
        <v>77</v>
      </c>
      <c r="F61" s="7"/>
      <c r="G61" s="7">
        <v>1.7668691043257065</v>
      </c>
      <c r="H61" s="7">
        <v>1.6931843541604958</v>
      </c>
      <c r="I61" s="7">
        <v>1.6847046002102821</v>
      </c>
      <c r="J61" s="6">
        <v>1.5700690055057438</v>
      </c>
      <c r="K61" s="7">
        <v>1.5891699804771495</v>
      </c>
      <c r="L61" s="7">
        <v>1.6971035733910482</v>
      </c>
      <c r="M61" s="7">
        <v>1.4207165009077423</v>
      </c>
      <c r="N61" s="7">
        <v>0</v>
      </c>
      <c r="O61" s="7">
        <v>1.4207165009077423</v>
      </c>
      <c r="P61" s="7">
        <v>1.4207165009077423</v>
      </c>
      <c r="Q61" s="7">
        <v>1.4207165009077423</v>
      </c>
      <c r="R61" s="7">
        <v>1.4207165009077423</v>
      </c>
      <c r="S61" s="7">
        <v>1.4207165009077423</v>
      </c>
      <c r="T61" s="7"/>
      <c r="U61" s="7"/>
      <c r="V61" s="7"/>
      <c r="W61" s="7"/>
      <c r="X61" s="7"/>
      <c r="Y61" s="7"/>
      <c r="Z61" s="7"/>
      <c r="AA61" s="7"/>
      <c r="AB61" s="7"/>
      <c r="AC61" s="7"/>
    </row>
    <row r="62" spans="2:29">
      <c r="B62" s="293"/>
      <c r="C62" s="7" t="s">
        <v>117</v>
      </c>
      <c r="D62" s="7" t="s">
        <v>178</v>
      </c>
      <c r="E62" s="7" t="s">
        <v>77</v>
      </c>
      <c r="F62" s="7"/>
      <c r="G62" s="7">
        <v>1.1199099116868254</v>
      </c>
      <c r="H62" s="7">
        <v>1.1259386777129612</v>
      </c>
      <c r="I62" s="7">
        <v>0.90637713276099385</v>
      </c>
      <c r="J62" s="6">
        <v>1.0017730159086871</v>
      </c>
      <c r="K62" s="7">
        <v>0.81590850011517313</v>
      </c>
      <c r="L62" s="7">
        <v>0.97317771376468332</v>
      </c>
      <c r="M62" s="7">
        <v>1.325966844745778</v>
      </c>
      <c r="N62" s="7">
        <v>0.90647103754541036</v>
      </c>
      <c r="O62" s="7">
        <v>0.71342407448361023</v>
      </c>
      <c r="P62" s="7">
        <v>0.84026657875366129</v>
      </c>
      <c r="Q62" s="7">
        <v>0.81526467001619241</v>
      </c>
      <c r="R62" s="7">
        <v>0.89408404389796436</v>
      </c>
      <c r="S62" s="7">
        <v>1.0125387143621192</v>
      </c>
      <c r="T62" s="7"/>
      <c r="U62" s="7"/>
      <c r="V62" s="7"/>
      <c r="W62" s="7"/>
      <c r="X62" s="7"/>
      <c r="Y62" s="7"/>
      <c r="Z62" s="7"/>
      <c r="AA62" s="7"/>
      <c r="AB62" s="7"/>
      <c r="AC62" s="7"/>
    </row>
    <row r="63" spans="2:29">
      <c r="B63" s="293"/>
      <c r="C63" s="7" t="s">
        <v>120</v>
      </c>
      <c r="D63" s="7" t="s">
        <v>179</v>
      </c>
      <c r="E63" s="7" t="s">
        <v>77</v>
      </c>
      <c r="F63" s="7"/>
      <c r="G63" s="7">
        <v>-6.7476378782720267E-2</v>
      </c>
      <c r="H63" s="7">
        <v>-1.0367412350859376E-2</v>
      </c>
      <c r="I63" s="7">
        <v>-0.14949726417945014</v>
      </c>
      <c r="J63" s="6">
        <v>-9.1841046310862567E-2</v>
      </c>
      <c r="K63" s="7">
        <v>-9.3048702459326255E-2</v>
      </c>
      <c r="L63" s="7">
        <v>-0.15143212819474611</v>
      </c>
      <c r="M63" s="7">
        <v>-0.23618169020171326</v>
      </c>
      <c r="N63" s="7">
        <v>-0.22149075345033498</v>
      </c>
      <c r="O63" s="7">
        <v>-0.23977023872649147</v>
      </c>
      <c r="P63" s="7">
        <v>-0.21666087382939367</v>
      </c>
      <c r="Q63" s="7">
        <v>-0.20162018133546727</v>
      </c>
      <c r="R63" s="7">
        <v>-0.16662850757882444</v>
      </c>
      <c r="S63" s="7">
        <v>-0.1336135051716322</v>
      </c>
      <c r="T63" s="7"/>
      <c r="U63" s="7"/>
      <c r="V63" s="7"/>
      <c r="W63" s="7"/>
      <c r="X63" s="7"/>
      <c r="Y63" s="7"/>
      <c r="Z63" s="7"/>
      <c r="AA63" s="7"/>
      <c r="AB63" s="7"/>
      <c r="AC63" s="7"/>
    </row>
    <row r="64" spans="2:29">
      <c r="B64" s="293"/>
      <c r="C64" s="7" t="s">
        <v>122</v>
      </c>
      <c r="D64" s="7" t="s">
        <v>180</v>
      </c>
      <c r="E64" s="7" t="s">
        <v>77</v>
      </c>
      <c r="F64" s="7"/>
      <c r="G64" s="7">
        <v>1.150996205822494E-10</v>
      </c>
      <c r="H64" s="7">
        <v>1.0552889856616785E-10</v>
      </c>
      <c r="I64" s="7">
        <v>1.0552889856616786E-10</v>
      </c>
      <c r="J64" s="6">
        <v>1.1551489497962747E-10</v>
      </c>
      <c r="K64" s="7">
        <v>1.144306420943344E-10</v>
      </c>
      <c r="L64" s="7">
        <v>1.1443064209433443E-10</v>
      </c>
      <c r="M64" s="7">
        <v>1.7255164367239104E-10</v>
      </c>
      <c r="N64" s="7">
        <v>1.9216568733856887E-10</v>
      </c>
      <c r="O64" s="7">
        <v>1.6213365045382322E-10</v>
      </c>
      <c r="P64" s="7">
        <v>1.7302477097702235E-10</v>
      </c>
      <c r="Q64" s="7">
        <v>1.621336504538232E-10</v>
      </c>
      <c r="R64" s="7">
        <v>1.6213365045382317E-10</v>
      </c>
      <c r="S64" s="7">
        <v>1.6213365045382322E-10</v>
      </c>
      <c r="T64" s="7"/>
      <c r="U64" s="7"/>
      <c r="V64" s="7"/>
      <c r="W64" s="7"/>
      <c r="X64" s="7"/>
      <c r="Y64" s="7"/>
      <c r="Z64" s="7"/>
      <c r="AA64" s="7"/>
      <c r="AB64" s="7"/>
      <c r="AC64" s="7"/>
    </row>
    <row r="65" spans="2:29">
      <c r="B65" s="293"/>
      <c r="C65" s="7" t="s">
        <v>181</v>
      </c>
      <c r="D65" s="7" t="s">
        <v>182</v>
      </c>
      <c r="E65" s="7" t="s">
        <v>183</v>
      </c>
      <c r="F65" s="7"/>
      <c r="G65" s="7">
        <v>0.11049359356858274</v>
      </c>
      <c r="H65" s="7">
        <v>0.1111447760184657</v>
      </c>
      <c r="I65" s="7">
        <v>0.1122234567979726</v>
      </c>
      <c r="J65" s="6">
        <v>0.1166459034194281</v>
      </c>
      <c r="K65" s="7">
        <v>0.11774072013896636</v>
      </c>
      <c r="L65" s="7">
        <v>0.11533241778015911</v>
      </c>
      <c r="M65" s="7">
        <v>0.11167813026207936</v>
      </c>
      <c r="N65" s="7">
        <v>0.11459456176974697</v>
      </c>
      <c r="O65" s="7">
        <v>0.11380768012303166</v>
      </c>
      <c r="P65" s="7">
        <v>0.117000046311916</v>
      </c>
      <c r="Q65" s="7">
        <v>0.11514709501136162</v>
      </c>
      <c r="R65" s="7">
        <v>0.11696289055066557</v>
      </c>
      <c r="S65" s="7">
        <v>0.11363678542164531</v>
      </c>
      <c r="T65" s="7"/>
      <c r="U65" s="7"/>
      <c r="V65" s="7"/>
      <c r="W65" s="7"/>
      <c r="X65" s="7"/>
      <c r="Y65" s="7"/>
      <c r="Z65" s="7"/>
      <c r="AA65" s="7"/>
      <c r="AB65" s="7"/>
      <c r="AC65" s="7"/>
    </row>
    <row r="66" spans="2:29">
      <c r="B66" s="293"/>
      <c r="C66" s="7" t="s">
        <v>117</v>
      </c>
      <c r="D66" s="7" t="s">
        <v>184</v>
      </c>
      <c r="E66" s="7" t="s">
        <v>183</v>
      </c>
      <c r="F66" s="7"/>
      <c r="G66" s="7">
        <v>0.10304333369386161</v>
      </c>
      <c r="H66" s="7">
        <v>0.10371917667548076</v>
      </c>
      <c r="I66" s="7">
        <v>0.10474185445756348</v>
      </c>
      <c r="J66" s="6">
        <v>0.11119553796618663</v>
      </c>
      <c r="K66" s="7">
        <v>0.11028019104580952</v>
      </c>
      <c r="L66" s="7">
        <v>0.10823561805284826</v>
      </c>
      <c r="M66" s="7">
        <v>0.10526973696124349</v>
      </c>
      <c r="N66" s="7">
        <v>0.10948213075902856</v>
      </c>
      <c r="O66" s="7">
        <v>0.10898379773170222</v>
      </c>
      <c r="P66" s="7">
        <v>0.11145907911771946</v>
      </c>
      <c r="Q66" s="7">
        <v>0.11037258319132046</v>
      </c>
      <c r="R66" s="7">
        <v>0.11222646535285601</v>
      </c>
      <c r="S66" s="7">
        <v>0.10888714601460912</v>
      </c>
      <c r="T66" s="7"/>
      <c r="U66" s="7"/>
      <c r="V66" s="7"/>
      <c r="W66" s="7"/>
      <c r="X66" s="7"/>
      <c r="Y66" s="7"/>
      <c r="Z66" s="7"/>
      <c r="AA66" s="7"/>
      <c r="AB66" s="7"/>
      <c r="AC66" s="7"/>
    </row>
    <row r="67" spans="2:29">
      <c r="B67" s="293"/>
      <c r="C67" s="7" t="s">
        <v>120</v>
      </c>
      <c r="D67" s="7" t="s">
        <v>185</v>
      </c>
      <c r="E67" s="7" t="s">
        <v>183</v>
      </c>
      <c r="F67" s="7"/>
      <c r="G67" s="7">
        <v>8.0412529249183531E-2</v>
      </c>
      <c r="H67" s="7">
        <v>8.1263795763941826E-2</v>
      </c>
      <c r="I67" s="7">
        <v>8.5805589551968084E-2</v>
      </c>
      <c r="J67" s="6">
        <v>7.5929437439067077E-2</v>
      </c>
      <c r="K67" s="7">
        <v>8.514465991491757E-2</v>
      </c>
      <c r="L67" s="7">
        <v>8.7503693234208854E-2</v>
      </c>
      <c r="M67" s="7">
        <v>8.4344600691053831E-2</v>
      </c>
      <c r="N67" s="7">
        <v>7.5780229689853401E-2</v>
      </c>
      <c r="O67" s="7">
        <v>7.8492266268236979E-2</v>
      </c>
      <c r="P67" s="7">
        <v>8.1245709757649165E-2</v>
      </c>
      <c r="Q67" s="7">
        <v>7.8492266341715702E-2</v>
      </c>
      <c r="R67" s="7">
        <v>7.8492266341715702E-2</v>
      </c>
      <c r="S67" s="7">
        <v>7.8492266341715702E-2</v>
      </c>
      <c r="T67" s="7"/>
      <c r="U67" s="7"/>
      <c r="V67" s="7"/>
      <c r="W67" s="7"/>
      <c r="X67" s="7"/>
      <c r="Y67" s="7"/>
      <c r="Z67" s="7"/>
      <c r="AA67" s="7"/>
      <c r="AB67" s="7"/>
      <c r="AC67" s="7"/>
    </row>
    <row r="68" spans="2:29">
      <c r="B68" s="293"/>
      <c r="C68" s="7" t="s">
        <v>122</v>
      </c>
      <c r="D68" s="7" t="s">
        <v>186</v>
      </c>
      <c r="E68" s="7" t="s">
        <v>183</v>
      </c>
      <c r="F68" s="7"/>
      <c r="G68" s="7">
        <v>4.0937865895238242E-2</v>
      </c>
      <c r="H68" s="7">
        <v>3.8172620602696196E-2</v>
      </c>
      <c r="I68" s="7">
        <v>3.8172620602696196E-2</v>
      </c>
      <c r="J68" s="6">
        <v>3.7973374933672942E-2</v>
      </c>
      <c r="K68" s="7">
        <v>4.4859693176593024E-2</v>
      </c>
      <c r="L68" s="7">
        <v>4.4859693176593024E-2</v>
      </c>
      <c r="M68" s="7">
        <v>5.4188314512789909E-2</v>
      </c>
      <c r="N68" s="7">
        <v>5.9091684649062455E-2</v>
      </c>
      <c r="O68" s="7">
        <v>5.0683925103064187E-2</v>
      </c>
      <c r="P68" s="7">
        <v>5.3791614430781218E-2</v>
      </c>
      <c r="Q68" s="7">
        <v>5.0683925103064187E-2</v>
      </c>
      <c r="R68" s="7">
        <v>5.0683925103064187E-2</v>
      </c>
      <c r="S68" s="7">
        <v>5.0683925103064187E-2</v>
      </c>
      <c r="T68" s="7"/>
      <c r="U68" s="7"/>
      <c r="V68" s="7"/>
      <c r="W68" s="7"/>
      <c r="X68" s="7"/>
      <c r="Y68" s="7"/>
      <c r="Z68" s="7"/>
      <c r="AA68" s="7"/>
      <c r="AB68" s="7"/>
      <c r="AC68" s="7"/>
    </row>
    <row r="69" spans="2:29">
      <c r="B69" s="293"/>
      <c r="C69" s="7" t="s">
        <v>187</v>
      </c>
      <c r="D69" s="7" t="s">
        <v>188</v>
      </c>
      <c r="E69" s="7" t="s">
        <v>77</v>
      </c>
      <c r="F69" s="7"/>
      <c r="G69" s="7">
        <v>2.5989233027901633E-2</v>
      </c>
      <c r="H69" s="7">
        <v>2.3935175972791985E-2</v>
      </c>
      <c r="I69" s="7">
        <v>2.4586244303371366E-2</v>
      </c>
      <c r="J69" s="6">
        <v>2.5400195265692326E-2</v>
      </c>
      <c r="K69" s="7">
        <v>1.6883925147005055E-2</v>
      </c>
      <c r="L69" s="7">
        <v>2.0891845066662008E-2</v>
      </c>
      <c r="M69" s="7">
        <v>2.700464340732707E-2</v>
      </c>
      <c r="N69" s="7">
        <v>1.9246178282943501E-2</v>
      </c>
      <c r="O69" s="7">
        <v>1.4609803781242738E-2</v>
      </c>
      <c r="P69" s="7">
        <v>1.7977683005341426E-2</v>
      </c>
      <c r="Q69" s="7">
        <v>1.833623693228548E-2</v>
      </c>
      <c r="R69" s="7">
        <v>1.9029566101812397E-2</v>
      </c>
      <c r="S69" s="7">
        <v>2.1598977553327306E-2</v>
      </c>
      <c r="T69" s="7"/>
      <c r="U69" s="7"/>
      <c r="V69" s="7"/>
      <c r="W69" s="7"/>
      <c r="X69" s="7"/>
      <c r="Y69" s="7"/>
      <c r="Z69" s="7"/>
      <c r="AA69" s="7"/>
      <c r="AB69" s="7"/>
      <c r="AC69" s="7"/>
    </row>
    <row r="70" spans="2:29">
      <c r="B70" s="293"/>
      <c r="C70" s="7" t="s">
        <v>117</v>
      </c>
      <c r="D70" s="7" t="s">
        <v>189</v>
      </c>
      <c r="E70" s="7" t="s">
        <v>77</v>
      </c>
      <c r="F70" s="7"/>
      <c r="G70" s="7">
        <v>1.9393803771135604E-2</v>
      </c>
      <c r="H70" s="7">
        <v>1.7266117225668103E-2</v>
      </c>
      <c r="I70" s="7">
        <v>1.7113168423305021E-2</v>
      </c>
      <c r="J70" s="6">
        <v>1.8476000854648834E-2</v>
      </c>
      <c r="K70" s="7">
        <v>1.0858153475370291E-2</v>
      </c>
      <c r="L70" s="7">
        <v>1.4480626253271449E-2</v>
      </c>
      <c r="M70" s="7">
        <v>2.16275929469061E-2</v>
      </c>
      <c r="N70" s="7">
        <v>1.4187463673077026E-2</v>
      </c>
      <c r="O70" s="7">
        <v>1.1964276319624713E-2</v>
      </c>
      <c r="P70" s="7">
        <v>1.3410295971976124E-2</v>
      </c>
      <c r="Q70" s="7">
        <v>1.3999642604226066E-2</v>
      </c>
      <c r="R70" s="7">
        <v>1.5001352600841939E-2</v>
      </c>
      <c r="S70" s="7">
        <v>1.7373362208508655E-2</v>
      </c>
      <c r="T70" s="7"/>
      <c r="U70" s="7"/>
      <c r="V70" s="7"/>
      <c r="W70" s="7"/>
      <c r="X70" s="7"/>
      <c r="Y70" s="7"/>
      <c r="Z70" s="7"/>
      <c r="AA70" s="7"/>
      <c r="AB70" s="7"/>
      <c r="AC70" s="7"/>
    </row>
    <row r="71" spans="2:29">
      <c r="B71" s="293"/>
      <c r="C71" s="7" t="s">
        <v>120</v>
      </c>
      <c r="D71" s="7" t="s">
        <v>190</v>
      </c>
      <c r="E71" s="7" t="s">
        <v>77</v>
      </c>
      <c r="F71" s="7"/>
      <c r="G71" s="7">
        <v>7.2057482361554933E-3</v>
      </c>
      <c r="H71" s="7">
        <v>7.2704793892427533E-3</v>
      </c>
      <c r="I71" s="7">
        <v>9.3619884584271104E-3</v>
      </c>
      <c r="J71" s="6">
        <v>8.4402488272241772E-3</v>
      </c>
      <c r="K71" s="7">
        <v>7.4624279567092455E-3</v>
      </c>
      <c r="L71" s="7">
        <v>1.0672391889346024E-2</v>
      </c>
      <c r="M71" s="7">
        <v>1.4315481593539282E-2</v>
      </c>
      <c r="N71" s="7">
        <v>1.2843563962288657E-2</v>
      </c>
      <c r="O71" s="7">
        <v>1.3450839511804251E-2</v>
      </c>
      <c r="P71" s="7">
        <v>1.247658728967543E-2</v>
      </c>
      <c r="Q71" s="7">
        <v>1.2705848998838821E-2</v>
      </c>
      <c r="R71" s="7">
        <v>1.1778432817228986E-2</v>
      </c>
      <c r="S71" s="7">
        <v>1.1340906504749983E-2</v>
      </c>
      <c r="T71" s="7"/>
      <c r="U71" s="7"/>
      <c r="V71" s="7"/>
      <c r="W71" s="7"/>
      <c r="X71" s="7"/>
      <c r="Y71" s="7"/>
      <c r="Z71" s="7"/>
      <c r="AA71" s="7"/>
      <c r="AB71" s="7"/>
      <c r="AC71" s="7"/>
    </row>
    <row r="72" spans="2:29">
      <c r="B72" s="293"/>
      <c r="C72" s="7" t="s">
        <v>122</v>
      </c>
      <c r="D72" s="7" t="s">
        <v>191</v>
      </c>
      <c r="E72" s="7" t="s">
        <v>77</v>
      </c>
      <c r="F72" s="7"/>
      <c r="G72" s="7">
        <v>1.2871181766890033E-2</v>
      </c>
      <c r="H72" s="7">
        <v>1.1757363982600752E-2</v>
      </c>
      <c r="I72" s="7">
        <v>8.867077996424633E-3</v>
      </c>
      <c r="J72" s="6">
        <v>1.2361311155327367E-2</v>
      </c>
      <c r="K72" s="7">
        <v>8.8474419386210413E-3</v>
      </c>
      <c r="L72" s="7">
        <v>1.1948743953588643E-2</v>
      </c>
      <c r="M72" s="7">
        <v>1.5964930119893229E-2</v>
      </c>
      <c r="N72" s="7">
        <v>1.5379800048954029E-2</v>
      </c>
      <c r="O72" s="7">
        <v>1.5111839261076759E-2</v>
      </c>
      <c r="P72" s="7">
        <v>1.5800325577597366E-2</v>
      </c>
      <c r="Q72" s="7">
        <v>1.5607690220090443E-2</v>
      </c>
      <c r="R72" s="7">
        <v>1.583954007527542E-2</v>
      </c>
      <c r="S72" s="7">
        <v>1.6075946859339992E-2</v>
      </c>
      <c r="T72" s="7"/>
      <c r="U72" s="7"/>
      <c r="V72" s="7"/>
      <c r="W72" s="7"/>
      <c r="X72" s="7"/>
      <c r="Y72" s="7"/>
      <c r="Z72" s="7"/>
      <c r="AA72" s="7"/>
      <c r="AB72" s="7"/>
      <c r="AC72" s="7"/>
    </row>
    <row r="73" spans="2:29">
      <c r="B73" s="293"/>
      <c r="C73" s="7" t="s">
        <v>192</v>
      </c>
      <c r="D73" s="7" t="s">
        <v>193</v>
      </c>
      <c r="E73" s="7" t="s">
        <v>77</v>
      </c>
      <c r="F73" s="7"/>
      <c r="G73" s="7">
        <v>0.2</v>
      </c>
      <c r="H73" s="7">
        <v>0.2</v>
      </c>
      <c r="I73" s="7">
        <v>0.2</v>
      </c>
      <c r="J73" s="6">
        <v>0.2</v>
      </c>
      <c r="K73" s="7">
        <v>0.20307417424463414</v>
      </c>
      <c r="L73" s="7">
        <v>0.20307417424463414</v>
      </c>
      <c r="M73" s="7">
        <v>0.11253363853407559</v>
      </c>
      <c r="N73" s="7">
        <v>0.10821367481029676</v>
      </c>
      <c r="O73" s="7">
        <v>4.2650289058750408E-2</v>
      </c>
      <c r="P73" s="7">
        <v>9.7400202198944769E-2</v>
      </c>
      <c r="Q73" s="7">
        <v>9.6467577533459026E-2</v>
      </c>
      <c r="R73" s="7">
        <v>9.0536675891477375E-2</v>
      </c>
      <c r="S73" s="7">
        <v>9.6427263948913433E-2</v>
      </c>
      <c r="T73" s="7"/>
      <c r="U73" s="7"/>
      <c r="V73" s="7"/>
      <c r="W73" s="7"/>
      <c r="X73" s="7"/>
      <c r="Y73" s="7"/>
      <c r="Z73" s="7"/>
      <c r="AA73" s="7"/>
      <c r="AB73" s="7"/>
      <c r="AC73" s="7"/>
    </row>
    <row r="74" spans="2:29">
      <c r="B74" s="293"/>
      <c r="C74" s="7" t="s">
        <v>194</v>
      </c>
      <c r="D74" s="7" t="s">
        <v>195</v>
      </c>
      <c r="E74" s="7" t="s">
        <v>77</v>
      </c>
      <c r="F74" s="7"/>
      <c r="G74" s="7">
        <v>0.2</v>
      </c>
      <c r="H74" s="7">
        <v>0.20075512594160025</v>
      </c>
      <c r="I74" s="7">
        <v>0.20472728608752949</v>
      </c>
      <c r="J74" s="6">
        <v>0.20433083126946039</v>
      </c>
      <c r="K74" s="7">
        <v>0.20228944613939059</v>
      </c>
      <c r="L74" s="7">
        <v>0.20246292449307876</v>
      </c>
      <c r="M74" s="7">
        <v>1</v>
      </c>
      <c r="N74" s="7">
        <v>1</v>
      </c>
      <c r="O74" s="7">
        <v>1</v>
      </c>
      <c r="P74" s="7">
        <v>1</v>
      </c>
      <c r="Q74" s="7">
        <v>1</v>
      </c>
      <c r="R74" s="7">
        <v>1</v>
      </c>
      <c r="S74" s="7">
        <v>1</v>
      </c>
      <c r="T74" s="7"/>
      <c r="U74" s="7"/>
      <c r="V74" s="7"/>
      <c r="W74" s="7"/>
      <c r="X74" s="7"/>
      <c r="Y74" s="7"/>
      <c r="Z74" s="7"/>
      <c r="AA74" s="7"/>
      <c r="AB74" s="7"/>
      <c r="AC74" s="7"/>
    </row>
    <row r="75" spans="2:29">
      <c r="B75" s="293"/>
      <c r="C75" s="7" t="s">
        <v>196</v>
      </c>
      <c r="D75" s="7" t="s">
        <v>197</v>
      </c>
      <c r="E75" s="7" t="s">
        <v>77</v>
      </c>
      <c r="F75" s="7"/>
      <c r="G75" s="7">
        <v>1.2</v>
      </c>
      <c r="H75" s="7">
        <v>1.2</v>
      </c>
      <c r="I75" s="7">
        <v>1.2</v>
      </c>
      <c r="J75" s="6">
        <v>1.2</v>
      </c>
      <c r="K75" s="7">
        <v>1.2</v>
      </c>
      <c r="L75" s="7">
        <v>1.2</v>
      </c>
      <c r="M75" s="7">
        <v>1.2</v>
      </c>
      <c r="N75" s="7">
        <v>1.2</v>
      </c>
      <c r="O75" s="7">
        <v>1.2</v>
      </c>
      <c r="P75" s="7">
        <v>1.2</v>
      </c>
      <c r="Q75" s="7">
        <v>1.2</v>
      </c>
      <c r="R75" s="7">
        <v>1.2</v>
      </c>
      <c r="S75" s="7">
        <v>1.2</v>
      </c>
      <c r="T75" s="7"/>
      <c r="U75" s="7"/>
      <c r="V75" s="7"/>
      <c r="W75" s="7"/>
      <c r="X75" s="7"/>
      <c r="Y75" s="7"/>
      <c r="Z75" s="7"/>
      <c r="AA75" s="7"/>
      <c r="AB75" s="7"/>
      <c r="AC75" s="7"/>
    </row>
    <row r="76" spans="2:29">
      <c r="B76" s="293"/>
      <c r="C76" s="7" t="s">
        <v>198</v>
      </c>
      <c r="D76" s="7" t="s">
        <v>199</v>
      </c>
      <c r="E76" s="7" t="s">
        <v>77</v>
      </c>
      <c r="F76" s="7"/>
      <c r="G76" s="7">
        <v>54.373258011301139</v>
      </c>
      <c r="H76" s="7">
        <v>61.326091548944362</v>
      </c>
      <c r="I76" s="7">
        <v>48.86585600467933</v>
      </c>
      <c r="J76" s="6">
        <v>51.054795874434618</v>
      </c>
      <c r="K76" s="7">
        <v>68.419686714309421</v>
      </c>
      <c r="L76" s="7">
        <v>61.016281531367596</v>
      </c>
      <c r="M76" s="7">
        <v>56.004072703101656</v>
      </c>
      <c r="N76" s="7">
        <v>56.840933983222001</v>
      </c>
      <c r="O76" s="7">
        <v>52.748899444464207</v>
      </c>
      <c r="P76" s="7">
        <v>56.094667669967592</v>
      </c>
      <c r="Q76" s="7">
        <v>52.731662474475193</v>
      </c>
      <c r="R76" s="7">
        <v>54.743115805968664</v>
      </c>
      <c r="S76" s="7">
        <v>54.288584977975084</v>
      </c>
      <c r="T76" s="7"/>
      <c r="U76" s="7"/>
      <c r="V76" s="7"/>
      <c r="W76" s="7"/>
      <c r="X76" s="7"/>
      <c r="Y76" s="7"/>
      <c r="Z76" s="7"/>
      <c r="AA76" s="7"/>
      <c r="AB76" s="7"/>
      <c r="AC76" s="7"/>
    </row>
    <row r="77" spans="2:29">
      <c r="B77" s="293"/>
      <c r="C77" s="7" t="s">
        <v>200</v>
      </c>
      <c r="D77" s="7" t="s">
        <v>201</v>
      </c>
      <c r="E77" s="7" t="s">
        <v>77</v>
      </c>
      <c r="F77" s="7"/>
      <c r="G77" s="7">
        <v>5.966771563082954E-4</v>
      </c>
      <c r="H77" s="7">
        <v>-1.1680165076360565E-2</v>
      </c>
      <c r="I77" s="7">
        <v>7.9321225425896518E-4</v>
      </c>
      <c r="J77" s="6">
        <v>1.1196133917099668E-4</v>
      </c>
      <c r="K77" s="7">
        <v>5.0388112890804772E-4</v>
      </c>
      <c r="L77" s="7">
        <v>-3.1383800751981668E-4</v>
      </c>
      <c r="M77" s="7">
        <v>-1.2981101169055875E-4</v>
      </c>
      <c r="N77" s="7">
        <v>3.0913437415344691E-4</v>
      </c>
      <c r="O77" s="7">
        <v>-1.3604911429110356E-4</v>
      </c>
      <c r="P77" s="7">
        <v>-4.1431794856480741E-5</v>
      </c>
      <c r="Q77" s="7">
        <v>-3.7852648738045946E-4</v>
      </c>
      <c r="R77" s="7">
        <v>-2.3021686617781534E-4</v>
      </c>
      <c r="S77" s="7">
        <v>-4.3738887125700787E-5</v>
      </c>
      <c r="T77" s="7"/>
      <c r="U77" s="7"/>
      <c r="V77" s="7"/>
      <c r="W77" s="7"/>
      <c r="X77" s="7"/>
      <c r="Y77" s="7"/>
      <c r="Z77" s="7"/>
      <c r="AA77" s="7"/>
      <c r="AB77" s="7"/>
      <c r="AC77" s="7"/>
    </row>
    <row r="78" spans="2:29">
      <c r="B78" s="293"/>
      <c r="C78" s="7" t="s">
        <v>202</v>
      </c>
      <c r="D78" s="7" t="s">
        <v>203</v>
      </c>
      <c r="E78" s="7" t="s">
        <v>106</v>
      </c>
      <c r="F78" s="7"/>
      <c r="G78" s="7">
        <v>1184.7432468234101</v>
      </c>
      <c r="H78" s="7">
        <v>1116.1166954202913</v>
      </c>
      <c r="I78" s="7">
        <v>1012.6935801942534</v>
      </c>
      <c r="J78" s="6">
        <v>985.53351320983711</v>
      </c>
      <c r="K78" s="7">
        <v>1084.7096188961623</v>
      </c>
      <c r="L78" s="7">
        <v>970.26660603808079</v>
      </c>
      <c r="M78" s="7">
        <v>959.83579788656823</v>
      </c>
      <c r="N78" s="7">
        <v>935.25114416985036</v>
      </c>
      <c r="O78" s="7">
        <v>900.1665385883714</v>
      </c>
      <c r="P78" s="7">
        <v>938.12185616804322</v>
      </c>
      <c r="Q78" s="7">
        <v>861.45006221899473</v>
      </c>
      <c r="R78" s="7">
        <v>868.62231422494881</v>
      </c>
      <c r="S78" s="7">
        <v>879.17731923931979</v>
      </c>
      <c r="T78" s="7"/>
      <c r="U78" s="7"/>
      <c r="V78" s="7"/>
      <c r="W78" s="7"/>
      <c r="X78" s="7"/>
      <c r="Y78" s="7"/>
      <c r="Z78" s="7"/>
      <c r="AA78" s="7"/>
      <c r="AB78" s="7"/>
      <c r="AC78" s="7"/>
    </row>
    <row r="79" spans="2:29">
      <c r="B79" s="293"/>
      <c r="C79" s="7"/>
      <c r="D79" s="7"/>
      <c r="E79" s="7" t="s">
        <v>204</v>
      </c>
      <c r="F79" s="7"/>
      <c r="G79" s="7">
        <v>120.92918718213842</v>
      </c>
      <c r="H79" s="7">
        <v>113.92433351232941</v>
      </c>
      <c r="I79" s="7">
        <v>103.36772279210507</v>
      </c>
      <c r="J79" s="6">
        <v>100.61597888819163</v>
      </c>
      <c r="K79" s="7">
        <v>110.74115557898543</v>
      </c>
      <c r="L79" s="7">
        <v>99.057335991636634</v>
      </c>
      <c r="M79" s="7">
        <v>97.992424490716516</v>
      </c>
      <c r="N79" s="7">
        <v>95.482505785589623</v>
      </c>
      <c r="O79" s="7">
        <v>91.900616497026178</v>
      </c>
      <c r="P79" s="7">
        <v>95.775585111591951</v>
      </c>
      <c r="Q79" s="7">
        <v>87.947938970800891</v>
      </c>
      <c r="R79" s="7">
        <v>88.680175010204067</v>
      </c>
      <c r="S79" s="7">
        <v>89.757766129588546</v>
      </c>
      <c r="T79" s="7"/>
      <c r="U79" s="7"/>
      <c r="V79" s="7"/>
      <c r="W79" s="7"/>
      <c r="X79" s="7"/>
      <c r="Y79" s="7"/>
      <c r="Z79" s="7"/>
      <c r="AA79" s="7"/>
      <c r="AB79" s="7"/>
      <c r="AC79" s="7"/>
    </row>
    <row r="80" spans="2:29">
      <c r="B80" s="293"/>
      <c r="C80" s="7" t="s">
        <v>205</v>
      </c>
      <c r="D80" s="7" t="s">
        <v>206</v>
      </c>
      <c r="E80" s="7" t="s">
        <v>106</v>
      </c>
      <c r="F80" s="7"/>
      <c r="G80" s="7">
        <v>27.64813165218294</v>
      </c>
      <c r="H80" s="7">
        <v>23.746360135264094</v>
      </c>
      <c r="I80" s="7">
        <v>27.870993542684378</v>
      </c>
      <c r="J80" s="6">
        <v>25.153973663853844</v>
      </c>
      <c r="K80" s="7">
        <v>22.672898143692077</v>
      </c>
      <c r="L80" s="7">
        <v>21.095578247058995</v>
      </c>
      <c r="M80" s="7">
        <v>19.8465607772658</v>
      </c>
      <c r="N80" s="7">
        <v>20.233671044581762</v>
      </c>
      <c r="O80" s="7">
        <v>18.867721278748267</v>
      </c>
      <c r="P80" s="7">
        <v>20.474754261099356</v>
      </c>
      <c r="Q80" s="7">
        <v>19.706041351315328</v>
      </c>
      <c r="R80" s="7">
        <v>18.721302135709376</v>
      </c>
      <c r="S80" s="7">
        <v>18.922714589331328</v>
      </c>
      <c r="T80" s="7"/>
      <c r="U80" s="7"/>
      <c r="V80" s="7"/>
      <c r="W80" s="7"/>
      <c r="X80" s="7"/>
      <c r="Y80" s="7"/>
      <c r="Z80" s="7"/>
      <c r="AA80" s="7"/>
      <c r="AB80" s="7"/>
      <c r="AC80" s="7"/>
    </row>
    <row r="81" spans="2:29">
      <c r="B81" s="293"/>
      <c r="C81" s="7"/>
      <c r="D81" s="7"/>
      <c r="E81" s="7" t="s">
        <v>204</v>
      </c>
      <c r="F81" s="7"/>
      <c r="G81" s="7">
        <v>2.8221018324163456</v>
      </c>
      <c r="H81" s="7">
        <v>2.4238399648120947</v>
      </c>
      <c r="I81" s="7">
        <v>2.8448498053163598</v>
      </c>
      <c r="J81" s="6">
        <v>2.5680422321443435</v>
      </c>
      <c r="K81" s="7">
        <v>2.314742025900161</v>
      </c>
      <c r="L81" s="7">
        <v>2.1537088562592133</v>
      </c>
      <c r="M81" s="7">
        <v>2.0261930349429096</v>
      </c>
      <c r="N81" s="7">
        <v>2.0657142465116651</v>
      </c>
      <c r="O81" s="7">
        <v>1.9262604674577097</v>
      </c>
      <c r="P81" s="7">
        <v>2.0903271323225479</v>
      </c>
      <c r="Q81" s="7">
        <v>2.0118469986028922</v>
      </c>
      <c r="R81" s="7">
        <v>1.9113121118641527</v>
      </c>
      <c r="S81" s="7">
        <v>1.931874894265577</v>
      </c>
      <c r="T81" s="7"/>
      <c r="U81" s="7"/>
      <c r="V81" s="7"/>
      <c r="W81" s="7"/>
      <c r="X81" s="7"/>
      <c r="Y81" s="7"/>
      <c r="Z81" s="7"/>
      <c r="AA81" s="7"/>
      <c r="AB81" s="7"/>
      <c r="AC81" s="7"/>
    </row>
    <row r="82" spans="2:29" ht="19.5" thickBot="1">
      <c r="B82" s="294"/>
      <c r="C82" s="10" t="s">
        <v>207</v>
      </c>
      <c r="D82" s="10" t="s">
        <v>208</v>
      </c>
      <c r="E82" s="10" t="s">
        <v>204</v>
      </c>
      <c r="F82" s="10"/>
      <c r="G82" s="10">
        <v>0.92918718213842055</v>
      </c>
      <c r="H82" s="10">
        <v>-7.5666487670588367E-2</v>
      </c>
      <c r="I82" s="10">
        <v>-0.20647239167934117</v>
      </c>
      <c r="J82" s="11">
        <v>1.4859788881916387</v>
      </c>
      <c r="K82" s="10">
        <v>0.80471277406977038</v>
      </c>
      <c r="L82" s="10">
        <v>0.26027246743649357</v>
      </c>
      <c r="M82" s="10">
        <v>0.48038061687513789</v>
      </c>
      <c r="N82" s="10">
        <v>0.1386330001715379</v>
      </c>
      <c r="O82" s="10">
        <v>0.35630493645642503</v>
      </c>
      <c r="P82" s="10">
        <v>0.617681543862588</v>
      </c>
      <c r="Q82" s="10">
        <v>0.46634046987051647</v>
      </c>
      <c r="R82" s="10">
        <v>0.54978971282646683</v>
      </c>
      <c r="S82" s="10">
        <v>0.97263371839990498</v>
      </c>
      <c r="T82" s="10"/>
      <c r="U82" s="10"/>
      <c r="V82" s="10"/>
      <c r="W82" s="10"/>
      <c r="X82" s="10"/>
      <c r="Y82" s="10"/>
      <c r="Z82" s="10"/>
      <c r="AA82" s="10"/>
      <c r="AB82" s="10"/>
      <c r="AC82" s="10"/>
    </row>
    <row r="83" spans="2:29" ht="19.5" thickTop="1">
      <c r="B83" s="293" t="s">
        <v>209</v>
      </c>
      <c r="C83" s="7" t="s">
        <v>210</v>
      </c>
      <c r="D83" s="7" t="s">
        <v>211</v>
      </c>
      <c r="E83" s="7" t="s">
        <v>212</v>
      </c>
      <c r="F83" s="8"/>
      <c r="G83" s="8">
        <v>906.04166059299382</v>
      </c>
      <c r="H83" s="8">
        <v>885.33825776135541</v>
      </c>
      <c r="I83" s="8">
        <v>918.40715156383294</v>
      </c>
      <c r="J83" s="12">
        <v>833.81063889746554</v>
      </c>
      <c r="K83" s="8">
        <v>941.40599435392676</v>
      </c>
      <c r="L83" s="8">
        <v>1010.1455163950034</v>
      </c>
      <c r="M83" s="8">
        <v>904.52562693682296</v>
      </c>
      <c r="N83" s="8">
        <v>885.1284285239492</v>
      </c>
      <c r="O83" s="8">
        <v>805.38723643263461</v>
      </c>
      <c r="P83" s="8">
        <v>815.91501256870231</v>
      </c>
      <c r="Q83" s="8">
        <v>832.47226848351579</v>
      </c>
      <c r="R83" s="8">
        <v>892.78855554089125</v>
      </c>
      <c r="S83" s="8">
        <v>891.80653593857642</v>
      </c>
      <c r="T83" s="8"/>
      <c r="U83" s="8"/>
      <c r="V83" s="8"/>
      <c r="W83" s="8"/>
      <c r="X83" s="8"/>
      <c r="Y83" s="8"/>
      <c r="Z83" s="8"/>
      <c r="AA83" s="8"/>
      <c r="AB83" s="8"/>
      <c r="AC83" s="8"/>
    </row>
    <row r="84" spans="2:29">
      <c r="B84" s="293"/>
      <c r="C84" s="7"/>
      <c r="D84" s="7" t="s">
        <v>213</v>
      </c>
      <c r="E84" s="7" t="s">
        <v>212</v>
      </c>
      <c r="F84" s="8"/>
      <c r="G84" s="8">
        <v>72.96235406324476</v>
      </c>
      <c r="H84" s="8">
        <v>62.910756221507064</v>
      </c>
      <c r="I84" s="8">
        <v>55.530862171617095</v>
      </c>
      <c r="J84" s="6">
        <v>72.911848683691176</v>
      </c>
      <c r="K84" s="8">
        <v>58.680109429353045</v>
      </c>
      <c r="L84" s="8">
        <v>57.72518969576015</v>
      </c>
      <c r="M84" s="8">
        <v>52.359348891475904</v>
      </c>
      <c r="N84" s="8">
        <v>57.310584566883882</v>
      </c>
      <c r="O84" s="8">
        <v>61.608111818404758</v>
      </c>
      <c r="P84" s="8">
        <v>61.309209303595203</v>
      </c>
      <c r="Q84" s="8">
        <v>61.555242693094755</v>
      </c>
      <c r="R84" s="8">
        <v>61.979275376536179</v>
      </c>
      <c r="S84" s="8">
        <v>61.134686718395209</v>
      </c>
      <c r="T84" s="8"/>
      <c r="U84" s="8"/>
      <c r="V84" s="8"/>
      <c r="W84" s="8"/>
      <c r="X84" s="8"/>
      <c r="Y84" s="8"/>
      <c r="Z84" s="8"/>
      <c r="AA84" s="8"/>
      <c r="AB84" s="8"/>
      <c r="AC84" s="8"/>
    </row>
    <row r="85" spans="2:29">
      <c r="B85" s="293"/>
      <c r="C85" s="7"/>
      <c r="D85" s="7" t="s">
        <v>214</v>
      </c>
      <c r="E85" s="7" t="s">
        <v>212</v>
      </c>
      <c r="F85" s="8"/>
      <c r="G85" s="8">
        <v>962.11094506616837</v>
      </c>
      <c r="H85" s="8">
        <v>937.78804076439428</v>
      </c>
      <c r="I85" s="8">
        <v>963.51180413877057</v>
      </c>
      <c r="J85" s="6">
        <v>896.99496843978659</v>
      </c>
      <c r="K85" s="8">
        <v>982.70276637670884</v>
      </c>
      <c r="L85" s="8">
        <v>1050.537846066663</v>
      </c>
      <c r="M85" s="8">
        <v>938.77426688646835</v>
      </c>
      <c r="N85" s="8">
        <v>935.64369229074987</v>
      </c>
      <c r="O85" s="8">
        <v>859.90611138054135</v>
      </c>
      <c r="P85" s="8">
        <v>871.2826765478984</v>
      </c>
      <c r="Q85" s="8">
        <v>887.03226452233321</v>
      </c>
      <c r="R85" s="8">
        <v>946.92451889626716</v>
      </c>
      <c r="S85" s="8">
        <v>946.7870879520932</v>
      </c>
      <c r="T85" s="8"/>
      <c r="U85" s="8"/>
      <c r="V85" s="8"/>
      <c r="W85" s="8"/>
      <c r="X85" s="8"/>
      <c r="Y85" s="8"/>
      <c r="Z85" s="8"/>
      <c r="AA85" s="8"/>
      <c r="AB85" s="8"/>
      <c r="AC85" s="8"/>
    </row>
    <row r="86" spans="2:29">
      <c r="B86" s="293"/>
      <c r="C86" s="7"/>
      <c r="D86" s="7" t="s">
        <v>215</v>
      </c>
      <c r="E86" s="7" t="s">
        <v>212</v>
      </c>
      <c r="F86" s="7"/>
      <c r="G86" s="7">
        <v>0</v>
      </c>
      <c r="H86" s="7">
        <v>0</v>
      </c>
      <c r="I86" s="7">
        <v>0</v>
      </c>
      <c r="J86" s="6">
        <v>0</v>
      </c>
      <c r="K86" s="7">
        <v>0</v>
      </c>
      <c r="L86" s="7">
        <v>0</v>
      </c>
      <c r="M86" s="7">
        <v>0</v>
      </c>
      <c r="N86" s="7">
        <v>0</v>
      </c>
      <c r="O86" s="7">
        <v>0</v>
      </c>
      <c r="P86" s="7">
        <v>0</v>
      </c>
      <c r="Q86" s="7">
        <v>0</v>
      </c>
      <c r="R86" s="7">
        <v>0</v>
      </c>
      <c r="S86" s="7">
        <v>0</v>
      </c>
      <c r="T86" s="7"/>
      <c r="U86" s="7"/>
      <c r="V86" s="7"/>
      <c r="W86" s="7"/>
      <c r="X86" s="7"/>
      <c r="Y86" s="7"/>
      <c r="Z86" s="7"/>
      <c r="AA86" s="7"/>
      <c r="AB86" s="7"/>
      <c r="AC86" s="7"/>
    </row>
    <row r="87" spans="2:29">
      <c r="B87" s="293"/>
      <c r="C87" s="7"/>
      <c r="D87" s="7" t="s">
        <v>216</v>
      </c>
      <c r="E87" s="7" t="s">
        <v>212</v>
      </c>
      <c r="F87" s="7"/>
      <c r="G87" s="7">
        <v>0</v>
      </c>
      <c r="H87" s="7">
        <v>0</v>
      </c>
      <c r="I87" s="7">
        <v>0</v>
      </c>
      <c r="J87" s="6">
        <v>0</v>
      </c>
      <c r="K87" s="7">
        <v>0</v>
      </c>
      <c r="L87" s="7">
        <v>0</v>
      </c>
      <c r="M87" s="7">
        <v>0</v>
      </c>
      <c r="N87" s="7">
        <v>0</v>
      </c>
      <c r="O87" s="7">
        <v>0</v>
      </c>
      <c r="P87" s="7">
        <v>0</v>
      </c>
      <c r="Q87" s="7">
        <v>0</v>
      </c>
      <c r="R87" s="7">
        <v>0</v>
      </c>
      <c r="S87" s="7">
        <v>0</v>
      </c>
      <c r="T87" s="7"/>
      <c r="U87" s="7"/>
      <c r="V87" s="7"/>
      <c r="W87" s="7"/>
      <c r="X87" s="7"/>
      <c r="Y87" s="7"/>
      <c r="Z87" s="7"/>
      <c r="AA87" s="7"/>
      <c r="AB87" s="7"/>
      <c r="AC87" s="7"/>
    </row>
    <row r="88" spans="2:29" ht="19.5" thickBot="1">
      <c r="B88" s="294"/>
      <c r="C88" s="10"/>
      <c r="D88" s="10" t="s">
        <v>217</v>
      </c>
      <c r="E88" s="10" t="s">
        <v>212</v>
      </c>
      <c r="F88" s="10"/>
      <c r="G88" s="10">
        <v>-7.406011225814928</v>
      </c>
      <c r="H88" s="10">
        <v>-6.7909181816599409</v>
      </c>
      <c r="I88" s="10">
        <v>-5.6196454676211225</v>
      </c>
      <c r="J88" s="11">
        <v>-6.0825334963457909</v>
      </c>
      <c r="K88" s="10">
        <v>-6.9131857565410044</v>
      </c>
      <c r="L88" s="10">
        <v>-6.5852125029812028</v>
      </c>
      <c r="M88" s="10">
        <v>-4.987654749548712</v>
      </c>
      <c r="N88" s="10">
        <v>-7.6748803539465982</v>
      </c>
      <c r="O88" s="10">
        <v>-5.784948570851979</v>
      </c>
      <c r="P88" s="10">
        <v>-5.6420922591709717</v>
      </c>
      <c r="Q88" s="10">
        <v>-5.7208954706653863</v>
      </c>
      <c r="R88" s="10">
        <v>-5.6642768869536919</v>
      </c>
      <c r="S88" s="10">
        <v>-5.8243628376211198</v>
      </c>
      <c r="T88" s="10"/>
      <c r="U88" s="10"/>
      <c r="V88" s="10"/>
      <c r="W88" s="10"/>
      <c r="X88" s="10"/>
      <c r="Y88" s="10"/>
      <c r="Z88" s="10"/>
      <c r="AA88" s="10"/>
      <c r="AB88" s="10"/>
      <c r="AC88" s="10"/>
    </row>
    <row r="89" spans="2:29" ht="19.5" thickTop="1">
      <c r="B89" s="293" t="s">
        <v>218</v>
      </c>
      <c r="C89" s="7"/>
      <c r="D89" s="7" t="s">
        <v>219</v>
      </c>
      <c r="E89" s="7" t="s">
        <v>183</v>
      </c>
      <c r="F89" s="7"/>
      <c r="G89" s="7">
        <v>-2.0010807074534332E-2</v>
      </c>
      <c r="H89" s="7">
        <v>-1.6838895283693811E-2</v>
      </c>
      <c r="I89" s="7">
        <v>-2.1235387044881707E-2</v>
      </c>
      <c r="J89" s="12">
        <v>-2.0820816650685955E-2</v>
      </c>
      <c r="K89" s="7">
        <v>-2.130043362118501E-2</v>
      </c>
      <c r="L89" s="7">
        <v>-2.2167204650325574E-2</v>
      </c>
      <c r="M89" s="7">
        <v>-2.0018827319272563E-2</v>
      </c>
      <c r="N89" s="7">
        <v>-2.0535400940715834E-2</v>
      </c>
      <c r="O89" s="7">
        <v>-2.1866528705799238E-2</v>
      </c>
      <c r="P89" s="7">
        <v>-2.0430634259647602E-2</v>
      </c>
      <c r="Q89" s="7">
        <v>-2.1374283181142786E-2</v>
      </c>
      <c r="R89" s="7">
        <v>-2.1277877173263921E-2</v>
      </c>
      <c r="S89" s="7">
        <v>-2.1202289228846573E-2</v>
      </c>
      <c r="T89" s="7"/>
      <c r="U89" s="7"/>
      <c r="V89" s="7"/>
      <c r="W89" s="7"/>
      <c r="X89" s="7"/>
      <c r="Y89" s="7"/>
      <c r="Z89" s="7"/>
      <c r="AA89" s="7"/>
      <c r="AB89" s="7"/>
      <c r="AC89" s="7"/>
    </row>
    <row r="90" spans="2:29">
      <c r="B90" s="293"/>
      <c r="C90" s="7"/>
      <c r="D90" s="7" t="s">
        <v>220</v>
      </c>
      <c r="E90" s="7" t="s">
        <v>183</v>
      </c>
      <c r="F90" s="7"/>
      <c r="G90" s="7">
        <v>-4.3076547346587342E-3</v>
      </c>
      <c r="H90" s="7">
        <v>-3.250975243166347E-3</v>
      </c>
      <c r="I90" s="7">
        <v>-3.3102396725761384E-3</v>
      </c>
      <c r="J90" s="6">
        <v>-3.4932616092385018E-3</v>
      </c>
      <c r="K90" s="7">
        <v>-4.0605550085478061E-3</v>
      </c>
      <c r="L90" s="7">
        <v>-3.9301510675748665E-3</v>
      </c>
      <c r="M90" s="7">
        <v>-4.5244603596246253E-3</v>
      </c>
      <c r="N90" s="7">
        <v>-1.6261031494530539E-3</v>
      </c>
      <c r="O90" s="7">
        <v>-2.8747141341960475E-3</v>
      </c>
      <c r="P90" s="7">
        <v>-2.3232525096361562E-3</v>
      </c>
      <c r="Q90" s="7">
        <v>-2.6407031537638032E-3</v>
      </c>
      <c r="R90" s="7">
        <v>-2.8537063442499789E-3</v>
      </c>
      <c r="S90" s="7">
        <v>-2.1937912085889066E-3</v>
      </c>
      <c r="T90" s="7"/>
      <c r="U90" s="7"/>
      <c r="V90" s="7"/>
      <c r="W90" s="7"/>
      <c r="X90" s="7"/>
      <c r="Y90" s="7"/>
      <c r="Z90" s="7"/>
      <c r="AA90" s="7"/>
      <c r="AB90" s="7"/>
      <c r="AC90" s="7"/>
    </row>
    <row r="91" spans="2:29" ht="19.5" thickBot="1">
      <c r="B91" s="294"/>
      <c r="C91" s="10"/>
      <c r="D91" s="10" t="s">
        <v>221</v>
      </c>
      <c r="E91" s="10" t="s">
        <v>183</v>
      </c>
      <c r="F91" s="10"/>
      <c r="G91" s="10">
        <v>-5.3577615853858478E-4</v>
      </c>
      <c r="H91" s="10">
        <v>-3.2580644753935398E-4</v>
      </c>
      <c r="I91" s="10">
        <v>-3.1702415539934146E-4</v>
      </c>
      <c r="J91" s="11">
        <v>-3.7529757345022873E-4</v>
      </c>
      <c r="K91" s="10">
        <v>1.8555211084135206E-4</v>
      </c>
      <c r="L91" s="10">
        <v>1.8096809282457506E-4</v>
      </c>
      <c r="M91" s="10">
        <v>1.9831791090086103E-4</v>
      </c>
      <c r="N91" s="10">
        <v>2.557796675998126E-4</v>
      </c>
      <c r="O91" s="10">
        <v>1.5474625405552511E-4</v>
      </c>
      <c r="P91" s="10">
        <v>1.8960206754604588E-4</v>
      </c>
      <c r="Q91" s="10">
        <v>1.5444168419411308E-4</v>
      </c>
      <c r="R91" s="10">
        <v>1.45882241211397E-4</v>
      </c>
      <c r="S91" s="10">
        <v>1.5323418589440656E-4</v>
      </c>
      <c r="T91" s="10"/>
      <c r="U91" s="10"/>
      <c r="V91" s="10"/>
      <c r="W91" s="10"/>
      <c r="X91" s="10"/>
      <c r="Y91" s="10"/>
      <c r="Z91" s="10"/>
      <c r="AA91" s="10"/>
      <c r="AB91" s="10"/>
      <c r="AC91" s="10"/>
    </row>
    <row r="92" spans="2:29" ht="19.5" thickTop="1">
      <c r="B92" s="293" t="s">
        <v>222</v>
      </c>
      <c r="C92" s="7" t="s">
        <v>223</v>
      </c>
      <c r="D92" s="7" t="s">
        <v>224</v>
      </c>
      <c r="E92" s="7" t="s">
        <v>225</v>
      </c>
      <c r="F92" s="7"/>
      <c r="G92" s="7">
        <v>8.1871739678034281</v>
      </c>
      <c r="H92" s="7">
        <v>8.1624854578865449</v>
      </c>
      <c r="I92" s="7">
        <v>8.7453503909277899</v>
      </c>
      <c r="J92" s="12">
        <v>8.2104818110790951</v>
      </c>
      <c r="K92" s="7">
        <v>9.4963161479902265</v>
      </c>
      <c r="L92" s="7">
        <v>8.3860722086699404</v>
      </c>
      <c r="M92" s="7">
        <v>7.0458658976119821</v>
      </c>
      <c r="N92" s="7">
        <v>9.2901291803350876</v>
      </c>
      <c r="O92" s="7">
        <v>10.401330090247521</v>
      </c>
      <c r="P92" s="7">
        <v>8.7455376688500372</v>
      </c>
      <c r="Q92" s="7">
        <v>9.7013471072537136</v>
      </c>
      <c r="R92" s="7">
        <v>9.2531089919488565</v>
      </c>
      <c r="S92" s="7">
        <v>8.6584587070829002</v>
      </c>
      <c r="T92" s="7"/>
      <c r="U92" s="7"/>
      <c r="V92" s="7"/>
      <c r="W92" s="7"/>
      <c r="X92" s="7"/>
      <c r="Y92" s="7"/>
      <c r="Z92" s="7"/>
      <c r="AA92" s="7"/>
      <c r="AB92" s="7"/>
      <c r="AC92" s="7"/>
    </row>
    <row r="93" spans="2:29">
      <c r="B93" s="293"/>
      <c r="C93" s="7"/>
      <c r="D93" s="7" t="s">
        <v>226</v>
      </c>
      <c r="E93" s="7" t="s">
        <v>77</v>
      </c>
      <c r="F93" s="7"/>
      <c r="G93" s="7">
        <v>0.90567874821283934</v>
      </c>
      <c r="H93" s="7">
        <v>0.91213744384519757</v>
      </c>
      <c r="I93" s="7">
        <v>0.87466672375566978</v>
      </c>
      <c r="J93" s="6">
        <v>0.90435520631105559</v>
      </c>
      <c r="K93" s="7">
        <v>0.87289716628344272</v>
      </c>
      <c r="L93" s="7">
        <v>0.87324814934969552</v>
      </c>
      <c r="M93" s="7">
        <v>0.92923133755955545</v>
      </c>
      <c r="N93" s="7">
        <v>0.9925505543187817</v>
      </c>
      <c r="O93" s="7">
        <v>0.98803141841708864</v>
      </c>
      <c r="P93" s="7">
        <v>0.95074838866354594</v>
      </c>
      <c r="Q93" s="7">
        <v>0.98825436767997343</v>
      </c>
      <c r="R93" s="7">
        <v>0.98368694325554928</v>
      </c>
      <c r="S93" s="7">
        <v>0.98948080665334137</v>
      </c>
      <c r="T93" s="7"/>
      <c r="U93" s="7"/>
      <c r="V93" s="7"/>
      <c r="W93" s="7"/>
      <c r="X93" s="7"/>
      <c r="Y93" s="7"/>
      <c r="Z93" s="7"/>
      <c r="AA93" s="7"/>
      <c r="AB93" s="7"/>
      <c r="AC93" s="7"/>
    </row>
    <row r="94" spans="2:29">
      <c r="B94" s="293"/>
      <c r="C94" s="7"/>
      <c r="D94" s="7" t="s">
        <v>227</v>
      </c>
      <c r="E94" s="7" t="s">
        <v>225</v>
      </c>
      <c r="F94" s="7"/>
      <c r="G94" s="7">
        <v>3.4710721582971962</v>
      </c>
      <c r="H94" s="7">
        <v>3.345676073466584</v>
      </c>
      <c r="I94" s="7">
        <v>4.2390881345512756</v>
      </c>
      <c r="J94" s="6">
        <v>3.5040741639495896</v>
      </c>
      <c r="K94" s="7">
        <v>4.6332928125957356</v>
      </c>
      <c r="L94" s="7">
        <v>4.0863297379258734</v>
      </c>
      <c r="M94" s="7">
        <v>2.6034366877272448</v>
      </c>
      <c r="N94" s="7">
        <v>1.1318487780818216</v>
      </c>
      <c r="O94" s="7">
        <v>1.6044339500554228</v>
      </c>
      <c r="P94" s="7">
        <v>2.7107993008886107</v>
      </c>
      <c r="Q94" s="7">
        <v>1.4825393080339162</v>
      </c>
      <c r="R94" s="7">
        <v>1.6645311178490798</v>
      </c>
      <c r="S94" s="7">
        <v>1.2525690769984914</v>
      </c>
      <c r="T94" s="7"/>
      <c r="U94" s="7"/>
      <c r="V94" s="7"/>
      <c r="W94" s="7"/>
      <c r="X94" s="7"/>
      <c r="Y94" s="7"/>
      <c r="Z94" s="7"/>
      <c r="AA94" s="7"/>
      <c r="AB94" s="7"/>
      <c r="AC94" s="7"/>
    </row>
    <row r="95" spans="2:29">
      <c r="B95" s="293"/>
      <c r="C95" s="7"/>
      <c r="D95" s="7" t="s">
        <v>228</v>
      </c>
      <c r="E95" s="7" t="s">
        <v>229</v>
      </c>
      <c r="F95" s="7"/>
      <c r="G95" s="7">
        <v>1.8101569257672616</v>
      </c>
      <c r="H95" s="7">
        <v>1.8780016861194024</v>
      </c>
      <c r="I95" s="7">
        <v>1.4822020934095739</v>
      </c>
      <c r="J95" s="6">
        <v>1.7931085397169628</v>
      </c>
      <c r="K95" s="7">
        <v>1.3560950195287835</v>
      </c>
      <c r="L95" s="7">
        <v>1.5376109394365189</v>
      </c>
      <c r="M95" s="7">
        <v>2.413419668240405</v>
      </c>
      <c r="N95" s="7">
        <v>5.5512586388332643</v>
      </c>
      <c r="O95" s="7">
        <v>3.9161383408538213</v>
      </c>
      <c r="P95" s="7">
        <v>2.3178349297640493</v>
      </c>
      <c r="Q95" s="7">
        <v>4.2381239223343714</v>
      </c>
      <c r="R95" s="7">
        <v>3.7747478793299867</v>
      </c>
      <c r="S95" s="7">
        <v>5.0162385632542277</v>
      </c>
      <c r="T95" s="7"/>
      <c r="U95" s="7"/>
      <c r="V95" s="7"/>
      <c r="W95" s="7"/>
      <c r="X95" s="7"/>
      <c r="Y95" s="7"/>
      <c r="Z95" s="7"/>
      <c r="AA95" s="7"/>
      <c r="AB95" s="7"/>
      <c r="AC95" s="7"/>
    </row>
    <row r="96" spans="2:29">
      <c r="B96" s="293"/>
      <c r="C96" s="7" t="s">
        <v>230</v>
      </c>
      <c r="D96" s="7" t="s">
        <v>231</v>
      </c>
      <c r="E96" s="7" t="s">
        <v>225</v>
      </c>
      <c r="F96" s="7"/>
      <c r="G96" s="7">
        <v>0.67737635142454367</v>
      </c>
      <c r="H96" s="7">
        <v>0.66833576818306006</v>
      </c>
      <c r="I96" s="7">
        <v>0.65326714854755707</v>
      </c>
      <c r="J96" s="6">
        <v>0.62732315975683761</v>
      </c>
      <c r="K96" s="7">
        <v>0.62382508504723611</v>
      </c>
      <c r="L96" s="7">
        <v>0.70448947113508698</v>
      </c>
      <c r="M96" s="7">
        <v>0.82248996349895132</v>
      </c>
      <c r="N96" s="7">
        <v>0.60563290975250206</v>
      </c>
      <c r="O96" s="7">
        <v>0.53340329177995904</v>
      </c>
      <c r="P96" s="7">
        <v>0.60440909762581829</v>
      </c>
      <c r="Q96" s="7">
        <v>0.5686171003563496</v>
      </c>
      <c r="R96" s="7">
        <v>0.5943886699925105</v>
      </c>
      <c r="S96" s="7">
        <v>0.64010513773290212</v>
      </c>
      <c r="T96" s="7"/>
      <c r="U96" s="7"/>
      <c r="V96" s="7"/>
      <c r="W96" s="7"/>
      <c r="X96" s="7"/>
      <c r="Y96" s="7"/>
      <c r="Z96" s="7"/>
      <c r="AA96" s="7"/>
      <c r="AB96" s="7"/>
      <c r="AC96" s="7"/>
    </row>
    <row r="97" spans="2:29">
      <c r="B97" s="293"/>
      <c r="C97" s="7"/>
      <c r="D97" s="7" t="s">
        <v>232</v>
      </c>
      <c r="E97" s="7" t="s">
        <v>77</v>
      </c>
      <c r="F97" s="7"/>
      <c r="G97" s="7">
        <v>3.5519168589969119E-2</v>
      </c>
      <c r="H97" s="7">
        <v>3.3708998055911148E-2</v>
      </c>
      <c r="I97" s="7">
        <v>3.9293704054904489E-2</v>
      </c>
      <c r="J97" s="6">
        <v>4.1935643099854196E-2</v>
      </c>
      <c r="K97" s="7">
        <v>2.9829612677350483E-2</v>
      </c>
      <c r="L97" s="7">
        <v>3.148157310602704E-2</v>
      </c>
      <c r="M97" s="7">
        <v>3.2163274407309643E-2</v>
      </c>
      <c r="N97" s="7">
        <v>3.7242807874262492E-2</v>
      </c>
      <c r="O97" s="7">
        <v>3.6480889219473393E-2</v>
      </c>
      <c r="P97" s="7">
        <v>3.5390909123463973E-2</v>
      </c>
      <c r="Q97" s="7">
        <v>4.1291947701511719E-2</v>
      </c>
      <c r="R97" s="7">
        <v>3.9216782953523835E-2</v>
      </c>
      <c r="S97" s="7">
        <v>3.8981032713419926E-2</v>
      </c>
      <c r="T97" s="7"/>
      <c r="U97" s="7"/>
      <c r="V97" s="7"/>
      <c r="W97" s="7"/>
      <c r="X97" s="7"/>
      <c r="Y97" s="7"/>
      <c r="Z97" s="7"/>
      <c r="AA97" s="7"/>
      <c r="AB97" s="7"/>
      <c r="AC97" s="7"/>
    </row>
    <row r="98" spans="2:29">
      <c r="B98" s="293"/>
      <c r="C98" s="7"/>
      <c r="D98" s="7" t="s">
        <v>233</v>
      </c>
      <c r="E98" s="7" t="s">
        <v>225</v>
      </c>
      <c r="F98" s="7"/>
      <c r="G98" s="7">
        <v>0.67694892372779403</v>
      </c>
      <c r="H98" s="7">
        <v>0.66795594644106626</v>
      </c>
      <c r="I98" s="7">
        <v>0.65276263306619364</v>
      </c>
      <c r="J98" s="6">
        <v>0.62677131235269212</v>
      </c>
      <c r="K98" s="7">
        <v>0.62354748169313978</v>
      </c>
      <c r="L98" s="7">
        <v>0.70414027855380978</v>
      </c>
      <c r="M98" s="7">
        <v>0.82206443026501153</v>
      </c>
      <c r="N98" s="7">
        <v>0.6052127494888383</v>
      </c>
      <c r="O98" s="7">
        <v>0.53304823231428844</v>
      </c>
      <c r="P98" s="7">
        <v>0.60403046285887607</v>
      </c>
      <c r="Q98" s="7">
        <v>0.56813214038081983</v>
      </c>
      <c r="R98" s="7">
        <v>0.59393142228808504</v>
      </c>
      <c r="S98" s="7">
        <v>0.63961862627541599</v>
      </c>
      <c r="T98" s="7"/>
      <c r="U98" s="7"/>
      <c r="V98" s="7"/>
      <c r="W98" s="7"/>
      <c r="X98" s="7"/>
      <c r="Y98" s="7"/>
      <c r="Z98" s="7"/>
      <c r="AA98" s="7"/>
      <c r="AB98" s="7"/>
      <c r="AC98" s="7"/>
    </row>
    <row r="99" spans="2:29">
      <c r="B99" s="293"/>
      <c r="C99" s="7"/>
      <c r="D99" s="7" t="s">
        <v>234</v>
      </c>
      <c r="E99" s="7" t="s">
        <v>229</v>
      </c>
      <c r="F99" s="7"/>
      <c r="G99" s="7">
        <v>9.281623896496658</v>
      </c>
      <c r="H99" s="7">
        <v>9.4065863784236132</v>
      </c>
      <c r="I99" s="7">
        <v>9.6255284676236013</v>
      </c>
      <c r="J99" s="6">
        <v>10.024685532582192</v>
      </c>
      <c r="K99" s="7">
        <v>10.07651460658399</v>
      </c>
      <c r="L99" s="7">
        <v>8.9232010986280077</v>
      </c>
      <c r="M99" s="7">
        <v>7.6431786559042045</v>
      </c>
      <c r="N99" s="7">
        <v>10.381779485786369</v>
      </c>
      <c r="O99" s="7">
        <v>11.78727350787833</v>
      </c>
      <c r="P99" s="7">
        <v>10.402100048797656</v>
      </c>
      <c r="Q99" s="7">
        <v>11.059373094026959</v>
      </c>
      <c r="R99" s="7">
        <v>10.57897439231956</v>
      </c>
      <c r="S99" s="7">
        <v>9.8233307303250488</v>
      </c>
      <c r="T99" s="7"/>
      <c r="U99" s="7"/>
      <c r="V99" s="7"/>
      <c r="W99" s="7"/>
      <c r="X99" s="7"/>
      <c r="Y99" s="7"/>
      <c r="Z99" s="7"/>
      <c r="AA99" s="7"/>
      <c r="AB99" s="7"/>
      <c r="AC99" s="7"/>
    </row>
    <row r="100" spans="2:29">
      <c r="B100" s="293"/>
      <c r="C100" s="7" t="s">
        <v>235</v>
      </c>
      <c r="D100" s="7" t="s">
        <v>236</v>
      </c>
      <c r="E100" s="7" t="s">
        <v>225</v>
      </c>
      <c r="F100" s="7"/>
      <c r="G100" s="7">
        <v>0.7495604320459508</v>
      </c>
      <c r="H100" s="7">
        <v>0.69291404805306878</v>
      </c>
      <c r="I100" s="7">
        <v>0.71452193292878585</v>
      </c>
      <c r="J100" s="6">
        <v>0.72438011711662642</v>
      </c>
      <c r="K100" s="7">
        <v>1.2535547569359917</v>
      </c>
      <c r="L100" s="7">
        <v>1.1385918604631449</v>
      </c>
      <c r="M100" s="7">
        <v>1.2646822697445395</v>
      </c>
      <c r="N100" s="7">
        <v>0.92879097528311116</v>
      </c>
      <c r="O100" s="7">
        <v>1.0987067653094216</v>
      </c>
      <c r="P100" s="7">
        <v>1.0366318104894019</v>
      </c>
      <c r="Q100" s="7">
        <v>1.0300195391903519</v>
      </c>
      <c r="R100" s="7">
        <v>1.0391027576319321</v>
      </c>
      <c r="S100" s="7">
        <v>0.91300620956946987</v>
      </c>
      <c r="T100" s="7"/>
      <c r="U100" s="7"/>
      <c r="V100" s="7"/>
      <c r="W100" s="7"/>
      <c r="X100" s="7"/>
      <c r="Y100" s="7"/>
      <c r="Z100" s="7"/>
      <c r="AA100" s="7"/>
      <c r="AB100" s="7"/>
      <c r="AC100" s="7"/>
    </row>
    <row r="101" spans="2:29">
      <c r="B101" s="293"/>
      <c r="C101" s="7"/>
      <c r="D101" s="7" t="s">
        <v>237</v>
      </c>
      <c r="E101" s="7"/>
      <c r="F101" s="7"/>
      <c r="G101" s="7">
        <v>0.35956915291265179</v>
      </c>
      <c r="H101" s="7">
        <v>0.27844591602404845</v>
      </c>
      <c r="I101" s="7">
        <v>0.15159055837003976</v>
      </c>
      <c r="J101" s="6">
        <v>0.18493539126626099</v>
      </c>
      <c r="K101" s="7">
        <v>0.20060718601528893</v>
      </c>
      <c r="L101" s="7">
        <v>0.20270423647798141</v>
      </c>
      <c r="M101" s="7">
        <v>0.2034993555069157</v>
      </c>
      <c r="N101" s="7">
        <v>0.25141588908449458</v>
      </c>
      <c r="O101" s="7">
        <v>0.22647111129224112</v>
      </c>
      <c r="P101" s="7">
        <v>0.22202189401394098</v>
      </c>
      <c r="Q101" s="7">
        <v>0.21710302695420797</v>
      </c>
      <c r="R101" s="7">
        <v>0.21427229647500562</v>
      </c>
      <c r="S101" s="7">
        <v>0.21084076252157694</v>
      </c>
      <c r="T101" s="7"/>
      <c r="U101" s="7"/>
      <c r="V101" s="7"/>
      <c r="W101" s="7"/>
      <c r="X101" s="7"/>
      <c r="Y101" s="7"/>
      <c r="Z101" s="7"/>
      <c r="AA101" s="7"/>
      <c r="AB101" s="7"/>
      <c r="AC101" s="7"/>
    </row>
    <row r="102" spans="2:29">
      <c r="B102" s="293"/>
      <c r="C102" s="7"/>
      <c r="D102" s="7" t="s">
        <v>236</v>
      </c>
      <c r="E102" s="7" t="s">
        <v>225</v>
      </c>
      <c r="F102" s="7"/>
      <c r="G102" s="7">
        <v>0.69942866152068184</v>
      </c>
      <c r="H102" s="7">
        <v>0.66551062107238723</v>
      </c>
      <c r="I102" s="7">
        <v>0.70626446982278512</v>
      </c>
      <c r="J102" s="6">
        <v>0.71188505341810548</v>
      </c>
      <c r="K102" s="7">
        <v>1.2280721947135658</v>
      </c>
      <c r="L102" s="7">
        <v>1.1149547021103381</v>
      </c>
      <c r="M102" s="7">
        <v>1.2382188944449084</v>
      </c>
      <c r="N102" s="7">
        <v>0.8989574205057016</v>
      </c>
      <c r="O102" s="7">
        <v>1.070160037215744</v>
      </c>
      <c r="P102" s="7">
        <v>1.0107592224882171</v>
      </c>
      <c r="Q102" s="7">
        <v>1.0054522294995805</v>
      </c>
      <c r="R102" s="7">
        <v>1.0149685228812946</v>
      </c>
      <c r="S102" s="7">
        <v>0.89248221406783212</v>
      </c>
      <c r="T102" s="7"/>
      <c r="U102" s="7"/>
      <c r="V102" s="7"/>
      <c r="W102" s="7"/>
      <c r="X102" s="7"/>
      <c r="Y102" s="7"/>
      <c r="Z102" s="7"/>
      <c r="AA102" s="7"/>
      <c r="AB102" s="7"/>
      <c r="AC102" s="7"/>
    </row>
    <row r="103" spans="2:29">
      <c r="B103" s="293"/>
      <c r="C103" s="7"/>
      <c r="D103" s="7" t="s">
        <v>238</v>
      </c>
      <c r="E103" s="7" t="s">
        <v>229</v>
      </c>
      <c r="F103" s="7"/>
      <c r="G103" s="7">
        <v>8.9833111693175791</v>
      </c>
      <c r="H103" s="7">
        <v>9.4411495597996886</v>
      </c>
      <c r="I103" s="7">
        <v>8.8963632968201765</v>
      </c>
      <c r="J103" s="6">
        <v>8.8261233706354218</v>
      </c>
      <c r="K103" s="7">
        <v>5.1162996232848261</v>
      </c>
      <c r="L103" s="7">
        <v>5.635372715400047</v>
      </c>
      <c r="M103" s="7">
        <v>5.0743736308403919</v>
      </c>
      <c r="N103" s="7">
        <v>6.9894136961960092</v>
      </c>
      <c r="O103" s="7">
        <v>5.8712576518243669</v>
      </c>
      <c r="P103" s="7">
        <v>6.2163027231273489</v>
      </c>
      <c r="Q103" s="7">
        <v>6.2491137050904593</v>
      </c>
      <c r="R103" s="7">
        <v>6.1905223320057923</v>
      </c>
      <c r="S103" s="7">
        <v>7.0401238345597328</v>
      </c>
      <c r="T103" s="7"/>
      <c r="U103" s="7"/>
      <c r="V103" s="7"/>
      <c r="W103" s="7"/>
      <c r="X103" s="7"/>
      <c r="Y103" s="7"/>
      <c r="Z103" s="7"/>
      <c r="AA103" s="7"/>
      <c r="AB103" s="7"/>
      <c r="AC103" s="7"/>
    </row>
    <row r="104" spans="2:29">
      <c r="B104" s="293"/>
      <c r="C104" s="7" t="s">
        <v>239</v>
      </c>
      <c r="D104" s="7" t="s">
        <v>240</v>
      </c>
      <c r="E104" s="7"/>
      <c r="F104" s="7"/>
      <c r="G104" s="7">
        <v>0.62683271906886251</v>
      </c>
      <c r="H104" s="7">
        <v>0.38491114218354688</v>
      </c>
      <c r="I104" s="7">
        <v>0.24829176159103347</v>
      </c>
      <c r="J104" s="6">
        <v>0.36269510456588794</v>
      </c>
      <c r="K104" s="7">
        <v>-1.9216585040664196E-2</v>
      </c>
      <c r="L104" s="7">
        <v>-2.7297176747471005E-2</v>
      </c>
      <c r="M104" s="7">
        <v>-4.372860158895997E-2</v>
      </c>
      <c r="N104" s="7">
        <v>-9.0773124665995492E-2</v>
      </c>
      <c r="O104" s="7">
        <v>-8.6694976076733751E-3</v>
      </c>
      <c r="P104" s="7">
        <v>-3.4806930541028493E-2</v>
      </c>
      <c r="Q104" s="7">
        <v>-2.1839647168287717E-2</v>
      </c>
      <c r="R104" s="7">
        <v>-1.7593155317140192E-2</v>
      </c>
      <c r="S104" s="7">
        <v>-4.9245769222332134E-2</v>
      </c>
      <c r="T104" s="7"/>
      <c r="U104" s="7"/>
      <c r="V104" s="7"/>
      <c r="W104" s="7"/>
      <c r="X104" s="7"/>
      <c r="Y104" s="7"/>
      <c r="Z104" s="7"/>
      <c r="AA104" s="7"/>
      <c r="AB104" s="7"/>
      <c r="AC104" s="7"/>
    </row>
    <row r="105" spans="2:29">
      <c r="B105" s="293"/>
      <c r="C105" s="7"/>
      <c r="D105" s="7" t="s">
        <v>241</v>
      </c>
      <c r="E105" s="7" t="s">
        <v>229</v>
      </c>
      <c r="F105" s="7"/>
      <c r="G105" s="7">
        <v>-1.105792916473139</v>
      </c>
      <c r="H105" s="7">
        <v>-1.8007979104679033</v>
      </c>
      <c r="I105" s="7">
        <v>-2.7916640331451772</v>
      </c>
      <c r="J105" s="6">
        <v>-1.9111015611572082</v>
      </c>
      <c r="K105" s="7">
        <v>36.070258013751001</v>
      </c>
      <c r="L105" s="7">
        <v>25.392632614439261</v>
      </c>
      <c r="M105" s="7">
        <v>15.851117012050578</v>
      </c>
      <c r="N105" s="7">
        <v>7.6360396660401078</v>
      </c>
      <c r="O105" s="7">
        <v>79.952404617591739</v>
      </c>
      <c r="P105" s="7">
        <v>19.914056476278528</v>
      </c>
      <c r="Q105" s="7">
        <v>31.738021004589779</v>
      </c>
      <c r="R105" s="7">
        <v>39.398684776268887</v>
      </c>
      <c r="S105" s="7">
        <v>14.075263550672991</v>
      </c>
      <c r="T105" s="7"/>
      <c r="U105" s="7"/>
      <c r="V105" s="7"/>
      <c r="W105" s="7"/>
      <c r="X105" s="7"/>
      <c r="Y105" s="7"/>
      <c r="Z105" s="7"/>
      <c r="AA105" s="7"/>
      <c r="AB105" s="7"/>
      <c r="AC105" s="7"/>
    </row>
    <row r="106" spans="2:29" ht="19.5" thickBot="1">
      <c r="B106" s="294"/>
      <c r="C106" s="10" t="s">
        <v>242</v>
      </c>
      <c r="D106" s="10" t="s">
        <v>243</v>
      </c>
      <c r="E106" s="10"/>
      <c r="F106" s="10"/>
      <c r="G106" s="10">
        <v>30.723376629617871</v>
      </c>
      <c r="H106" s="10">
        <v>29.407736545659034</v>
      </c>
      <c r="I106" s="10">
        <v>30.228339155625207</v>
      </c>
      <c r="J106" s="11">
        <v>36.246940958040639</v>
      </c>
      <c r="K106" s="10">
        <v>36.670209300235157</v>
      </c>
      <c r="L106" s="10">
        <v>30.660436314858401</v>
      </c>
      <c r="M106" s="10">
        <v>28.448149995144675</v>
      </c>
      <c r="N106" s="10">
        <v>33.360693861526748</v>
      </c>
      <c r="O106" s="10">
        <v>44.430982222470632</v>
      </c>
      <c r="P106" s="10">
        <v>39.510875685444965</v>
      </c>
      <c r="Q106" s="10">
        <v>40.323482713556857</v>
      </c>
      <c r="R106" s="10">
        <v>39.16291360077927</v>
      </c>
      <c r="S106" s="10">
        <v>33.317151314646928</v>
      </c>
      <c r="T106" s="10"/>
      <c r="U106" s="10"/>
      <c r="V106" s="10"/>
      <c r="W106" s="10"/>
      <c r="X106" s="10"/>
      <c r="Y106" s="10"/>
      <c r="Z106" s="10"/>
      <c r="AA106" s="10"/>
      <c r="AB106" s="10"/>
      <c r="AC106" s="10"/>
    </row>
    <row r="107" spans="2:29" ht="19.5" thickTop="1"/>
  </sheetData>
  <mergeCells count="22">
    <mergeCell ref="B21:B23"/>
    <mergeCell ref="C3:E3"/>
    <mergeCell ref="C4:E4"/>
    <mergeCell ref="C5:E5"/>
    <mergeCell ref="C6:E6"/>
    <mergeCell ref="C7:E7"/>
    <mergeCell ref="C8:E8"/>
    <mergeCell ref="C9:E9"/>
    <mergeCell ref="D10:E10"/>
    <mergeCell ref="D11:E11"/>
    <mergeCell ref="B12:B15"/>
    <mergeCell ref="B16:B20"/>
    <mergeCell ref="B60:B82"/>
    <mergeCell ref="B83:B88"/>
    <mergeCell ref="B89:B91"/>
    <mergeCell ref="B92:B106"/>
    <mergeCell ref="B24:B26"/>
    <mergeCell ref="B27:B37"/>
    <mergeCell ref="B38:B44"/>
    <mergeCell ref="B45:B48"/>
    <mergeCell ref="B49:B53"/>
    <mergeCell ref="B54:B59"/>
  </mergeCells>
  <phoneticPr fontId="2"/>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6EBBC2-A243-4169-9488-1E4A6229C525}">
  <sheetPr codeName="Sheet5">
    <tabColor theme="2" tint="-0.249977111117893"/>
  </sheetPr>
  <dimension ref="A2:AE77"/>
  <sheetViews>
    <sheetView zoomScale="129" zoomScaleNormal="129" workbookViewId="0">
      <selection activeCell="G22" sqref="G22"/>
    </sheetView>
  </sheetViews>
  <sheetFormatPr defaultRowHeight="18.75"/>
  <cols>
    <col min="4" max="4" width="10.5" customWidth="1"/>
  </cols>
  <sheetData>
    <row r="2" spans="2:23">
      <c r="B2" s="23" t="s">
        <v>380</v>
      </c>
      <c r="C2" s="23"/>
      <c r="D2" s="23"/>
      <c r="E2" s="23"/>
      <c r="F2" s="1"/>
      <c r="G2" s="1"/>
      <c r="I2" s="23" t="s">
        <v>381</v>
      </c>
      <c r="K2" s="23"/>
      <c r="L2" s="23"/>
      <c r="O2" s="23"/>
      <c r="S2" s="23"/>
      <c r="T2" s="23"/>
      <c r="U2" s="23"/>
      <c r="V2" s="23"/>
      <c r="W2" s="23"/>
    </row>
    <row r="3" spans="2:23" ht="19.5" thickBot="1">
      <c r="B3" s="85" t="s">
        <v>382</v>
      </c>
      <c r="C3" s="85" t="s">
        <v>310</v>
      </c>
      <c r="D3" s="85" t="s">
        <v>311</v>
      </c>
      <c r="E3" s="85" t="s">
        <v>312</v>
      </c>
      <c r="F3" s="85" t="s">
        <v>383</v>
      </c>
      <c r="I3" s="85" t="s">
        <v>382</v>
      </c>
      <c r="J3" s="85" t="s">
        <v>384</v>
      </c>
      <c r="K3" s="85" t="s">
        <v>311</v>
      </c>
      <c r="L3" s="299" t="s">
        <v>383</v>
      </c>
      <c r="M3" s="300"/>
      <c r="N3" s="301"/>
    </row>
    <row r="4" spans="2:23" ht="20.25" thickTop="1">
      <c r="B4" s="12" t="s">
        <v>385</v>
      </c>
      <c r="C4" s="12" t="s">
        <v>386</v>
      </c>
      <c r="D4" s="12">
        <f>D11/(D12*D9)</f>
        <v>1.1528198974645434</v>
      </c>
      <c r="E4" s="12" t="s">
        <v>387</v>
      </c>
      <c r="F4" s="91" t="s">
        <v>388</v>
      </c>
      <c r="G4" s="92" t="s">
        <v>389</v>
      </c>
      <c r="I4" s="12" t="s">
        <v>390</v>
      </c>
      <c r="J4" s="12" t="s">
        <v>391</v>
      </c>
      <c r="K4" s="87" t="s">
        <v>392</v>
      </c>
      <c r="L4" s="302"/>
      <c r="M4" s="303"/>
      <c r="N4" s="304"/>
    </row>
    <row r="5" spans="2:23" ht="19.5">
      <c r="B5" s="6" t="s">
        <v>393</v>
      </c>
      <c r="C5" s="6" t="s">
        <v>394</v>
      </c>
      <c r="D5" s="93">
        <v>9.7970000000000006</v>
      </c>
      <c r="E5" s="6" t="s">
        <v>395</v>
      </c>
      <c r="F5" s="94" t="s">
        <v>396</v>
      </c>
      <c r="G5" s="92" t="s">
        <v>389</v>
      </c>
      <c r="I5" s="6"/>
      <c r="J5" s="6" t="s">
        <v>397</v>
      </c>
      <c r="K5" s="95" t="s">
        <v>398</v>
      </c>
      <c r="L5" s="305"/>
      <c r="M5" s="306"/>
      <c r="N5" s="307"/>
      <c r="Q5" s="23"/>
    </row>
    <row r="6" spans="2:23" ht="19.5">
      <c r="B6" s="6" t="s">
        <v>399</v>
      </c>
      <c r="C6" s="6" t="s">
        <v>400</v>
      </c>
      <c r="D6" s="96">
        <f>(1.458*(10^-6)*(D9^(3/2)))/(D9+110.4)</f>
        <v>1.8608692424914869E-5</v>
      </c>
      <c r="E6" s="6" t="s">
        <v>401</v>
      </c>
      <c r="F6" s="97" t="s">
        <v>402</v>
      </c>
      <c r="G6" s="92" t="s">
        <v>389</v>
      </c>
      <c r="I6" s="6"/>
      <c r="J6" s="6" t="s">
        <v>403</v>
      </c>
      <c r="K6" s="95" t="s">
        <v>398</v>
      </c>
      <c r="L6" s="305"/>
      <c r="M6" s="306"/>
      <c r="N6" s="307"/>
      <c r="Q6" s="23"/>
    </row>
    <row r="7" spans="2:23" ht="19.5">
      <c r="B7" s="6" t="s">
        <v>404</v>
      </c>
      <c r="C7" s="6" t="s">
        <v>405</v>
      </c>
      <c r="D7" s="96">
        <f>D6/D4</f>
        <v>1.6141890390547503E-5</v>
      </c>
      <c r="E7" s="6" t="s">
        <v>406</v>
      </c>
      <c r="F7" s="97" t="s">
        <v>402</v>
      </c>
      <c r="G7" s="92" t="s">
        <v>389</v>
      </c>
      <c r="I7" s="6"/>
      <c r="J7" s="6" t="s">
        <v>407</v>
      </c>
      <c r="K7" s="95" t="s">
        <v>398</v>
      </c>
      <c r="L7" s="305"/>
      <c r="M7" s="306"/>
      <c r="N7" s="307"/>
      <c r="Q7" s="23"/>
    </row>
    <row r="8" spans="2:23" ht="19.5">
      <c r="B8" s="6" t="s">
        <v>408</v>
      </c>
      <c r="C8" s="6" t="s">
        <v>409</v>
      </c>
      <c r="D8" s="93">
        <v>30</v>
      </c>
      <c r="E8" s="6" t="s">
        <v>410</v>
      </c>
      <c r="F8" s="97"/>
      <c r="I8" s="6" t="s">
        <v>411</v>
      </c>
      <c r="J8" s="6" t="s">
        <v>412</v>
      </c>
      <c r="K8" s="95" t="s">
        <v>398</v>
      </c>
      <c r="L8" s="305" t="s">
        <v>413</v>
      </c>
      <c r="M8" s="306"/>
      <c r="N8" s="307"/>
      <c r="Q8" s="23"/>
    </row>
    <row r="9" spans="2:23" ht="19.5">
      <c r="B9" s="6"/>
      <c r="C9" s="6"/>
      <c r="D9" s="6">
        <f>273.15+D8</f>
        <v>303.14999999999998</v>
      </c>
      <c r="E9" s="6" t="s">
        <v>414</v>
      </c>
      <c r="F9" s="97"/>
      <c r="I9" s="6"/>
      <c r="J9" s="6"/>
      <c r="K9" s="93"/>
      <c r="L9" s="305"/>
      <c r="M9" s="306"/>
      <c r="N9" s="307"/>
      <c r="Q9" s="23"/>
    </row>
    <row r="10" spans="2:23" ht="19.5">
      <c r="B10" s="6" t="s">
        <v>415</v>
      </c>
      <c r="C10" s="6" t="s">
        <v>416</v>
      </c>
      <c r="D10" s="98">
        <v>1003</v>
      </c>
      <c r="E10" s="6" t="s">
        <v>417</v>
      </c>
      <c r="F10" s="99" t="s">
        <v>418</v>
      </c>
      <c r="I10" s="6" t="s">
        <v>419</v>
      </c>
      <c r="J10" s="6"/>
      <c r="K10" s="98"/>
      <c r="L10" s="305"/>
      <c r="M10" s="306"/>
      <c r="N10" s="307"/>
      <c r="Q10" s="23"/>
    </row>
    <row r="11" spans="2:23" ht="19.5">
      <c r="B11" s="6"/>
      <c r="C11" s="6"/>
      <c r="D11" s="100">
        <f>D10*100</f>
        <v>100300</v>
      </c>
      <c r="E11" s="6" t="s">
        <v>420</v>
      </c>
      <c r="F11" s="97"/>
      <c r="I11" s="6"/>
      <c r="J11" s="6"/>
      <c r="K11" s="98"/>
      <c r="L11" s="305"/>
      <c r="M11" s="306"/>
      <c r="N11" s="307"/>
      <c r="Q11" s="23"/>
    </row>
    <row r="12" spans="2:23" ht="19.5">
      <c r="B12" s="6" t="s">
        <v>421</v>
      </c>
      <c r="C12" s="6" t="s">
        <v>422</v>
      </c>
      <c r="D12" s="93">
        <v>287</v>
      </c>
      <c r="E12" s="6" t="s">
        <v>423</v>
      </c>
      <c r="F12" s="97" t="s">
        <v>402</v>
      </c>
      <c r="G12" s="92" t="s">
        <v>389</v>
      </c>
      <c r="I12" s="6"/>
      <c r="J12" s="6"/>
      <c r="K12" s="93"/>
      <c r="L12" s="305"/>
      <c r="M12" s="306"/>
      <c r="N12" s="307"/>
    </row>
    <row r="13" spans="2:23" ht="19.5">
      <c r="B13" s="6" t="s">
        <v>424</v>
      </c>
      <c r="C13" s="6" t="s">
        <v>425</v>
      </c>
      <c r="D13" s="93">
        <v>1.4</v>
      </c>
      <c r="E13" s="6" t="s">
        <v>142</v>
      </c>
      <c r="F13" s="97" t="s">
        <v>402</v>
      </c>
      <c r="G13" s="92" t="s">
        <v>389</v>
      </c>
      <c r="I13" s="6"/>
      <c r="J13" s="6"/>
      <c r="K13" s="93"/>
      <c r="L13" s="305"/>
      <c r="M13" s="306"/>
      <c r="N13" s="307"/>
    </row>
    <row r="14" spans="2:23" ht="19.5">
      <c r="B14" s="6" t="s">
        <v>426</v>
      </c>
      <c r="C14" s="6" t="s">
        <v>427</v>
      </c>
      <c r="D14" s="6">
        <f>SQRT(D13*D12*D9)</f>
        <v>349.00669048028288</v>
      </c>
      <c r="E14" s="6" t="s">
        <v>316</v>
      </c>
      <c r="F14" s="97" t="s">
        <v>402</v>
      </c>
      <c r="G14" s="92" t="s">
        <v>389</v>
      </c>
      <c r="I14" s="6"/>
      <c r="J14" s="6"/>
      <c r="K14" s="93"/>
      <c r="L14" s="305"/>
      <c r="M14" s="306"/>
      <c r="N14" s="307"/>
    </row>
    <row r="15" spans="2:23" ht="19.5">
      <c r="B15" s="6" t="s">
        <v>428</v>
      </c>
      <c r="C15" s="6" t="s">
        <v>429</v>
      </c>
      <c r="D15" s="93">
        <v>0.4</v>
      </c>
      <c r="E15" s="6" t="s">
        <v>142</v>
      </c>
      <c r="F15" s="101" t="s">
        <v>430</v>
      </c>
      <c r="I15" s="6"/>
      <c r="J15" s="6"/>
      <c r="K15" s="93"/>
      <c r="L15" s="305"/>
      <c r="M15" s="306"/>
      <c r="N15" s="307"/>
    </row>
    <row r="16" spans="2:23" ht="19.5">
      <c r="B16" s="6" t="s">
        <v>431</v>
      </c>
      <c r="C16" s="6" t="s">
        <v>432</v>
      </c>
      <c r="D16" s="93">
        <v>0.01</v>
      </c>
      <c r="E16" s="6" t="s">
        <v>142</v>
      </c>
      <c r="F16" s="101" t="s">
        <v>430</v>
      </c>
      <c r="I16" s="6"/>
      <c r="J16" s="6"/>
      <c r="K16" s="93"/>
      <c r="L16" s="305"/>
      <c r="M16" s="306"/>
      <c r="N16" s="307"/>
    </row>
    <row r="17" spans="1:31">
      <c r="B17" s="23"/>
      <c r="C17" s="23"/>
      <c r="D17" s="23"/>
      <c r="E17" s="23"/>
      <c r="F17" s="23"/>
      <c r="H17" s="23"/>
      <c r="I17" s="23"/>
      <c r="J17" s="23"/>
      <c r="K17" s="23"/>
      <c r="L17" s="23"/>
      <c r="M17" s="23"/>
      <c r="N17" s="23"/>
    </row>
    <row r="18" spans="1:31">
      <c r="C18" s="23"/>
      <c r="D18" s="23"/>
      <c r="E18" s="23"/>
      <c r="F18" s="23"/>
      <c r="H18" s="23"/>
      <c r="I18" s="23"/>
      <c r="J18" s="23"/>
      <c r="K18" s="23"/>
      <c r="L18" s="23"/>
      <c r="M18" s="23"/>
      <c r="N18" s="23"/>
      <c r="V18" s="23"/>
      <c r="W18" s="23"/>
    </row>
    <row r="19" spans="1:31">
      <c r="A19" s="23"/>
      <c r="B19" s="23" t="s">
        <v>433</v>
      </c>
      <c r="C19" s="23"/>
      <c r="D19" s="23"/>
      <c r="E19" s="23"/>
      <c r="F19" s="23"/>
      <c r="I19" s="23" t="s">
        <v>434</v>
      </c>
      <c r="J19" s="23"/>
      <c r="K19" s="23"/>
      <c r="L19" s="23"/>
      <c r="M19" s="23"/>
      <c r="N19" s="23"/>
      <c r="O19" s="23"/>
      <c r="S19" s="23"/>
      <c r="T19" s="23"/>
      <c r="U19" s="23"/>
      <c r="V19" s="23"/>
      <c r="W19" s="23"/>
      <c r="X19" s="23"/>
      <c r="Y19" s="23"/>
      <c r="Z19" s="23"/>
      <c r="AA19" s="23"/>
      <c r="AB19" s="23"/>
      <c r="AC19" s="23"/>
      <c r="AD19" s="23"/>
      <c r="AE19" s="23"/>
    </row>
    <row r="20" spans="1:31" ht="19.5" thickBot="1">
      <c r="A20" s="23"/>
      <c r="B20" s="2" t="s">
        <v>435</v>
      </c>
      <c r="C20" s="2" t="s">
        <v>436</v>
      </c>
      <c r="D20" s="2" t="s">
        <v>437</v>
      </c>
      <c r="E20" s="2" t="s">
        <v>312</v>
      </c>
      <c r="F20" s="85" t="s">
        <v>383</v>
      </c>
      <c r="I20" s="2" t="s">
        <v>435</v>
      </c>
      <c r="J20" s="2" t="s">
        <v>436</v>
      </c>
      <c r="K20" s="2" t="s">
        <v>437</v>
      </c>
      <c r="L20" s="2" t="s">
        <v>438</v>
      </c>
      <c r="M20" s="2" t="s">
        <v>439</v>
      </c>
      <c r="N20" s="2" t="s">
        <v>383</v>
      </c>
      <c r="O20" s="23"/>
      <c r="S20" s="23"/>
      <c r="T20" s="23"/>
      <c r="U20" s="23"/>
      <c r="V20" s="23"/>
      <c r="W20" s="23"/>
      <c r="X20" s="23"/>
      <c r="Y20" s="23"/>
      <c r="Z20" s="23"/>
      <c r="AA20" s="23"/>
      <c r="AB20" s="23"/>
      <c r="AC20" s="23"/>
      <c r="AD20" s="23"/>
      <c r="AE20" s="23"/>
    </row>
    <row r="21" spans="1:31" ht="20.25" thickTop="1" thickBot="1">
      <c r="A21" s="23"/>
      <c r="B21" s="102" t="s">
        <v>440</v>
      </c>
      <c r="C21" s="102" t="s">
        <v>441</v>
      </c>
      <c r="D21" s="103">
        <v>1500</v>
      </c>
      <c r="E21" s="102" t="s">
        <v>387</v>
      </c>
      <c r="F21" s="12"/>
      <c r="I21" s="104" t="s">
        <v>142</v>
      </c>
      <c r="J21" s="104" t="s">
        <v>142</v>
      </c>
      <c r="K21" s="104" t="s">
        <v>387</v>
      </c>
      <c r="L21" s="104" t="s">
        <v>420</v>
      </c>
      <c r="M21" s="104" t="s">
        <v>420</v>
      </c>
      <c r="N21" s="104" t="s">
        <v>142</v>
      </c>
      <c r="O21" s="23"/>
      <c r="S21" s="23"/>
      <c r="T21" s="23"/>
      <c r="U21" s="23"/>
      <c r="V21" s="23"/>
      <c r="W21" s="23"/>
      <c r="X21" s="23"/>
      <c r="Y21" s="23"/>
      <c r="Z21" s="23"/>
      <c r="AA21" s="23"/>
      <c r="AB21" s="23"/>
      <c r="AC21" s="23"/>
      <c r="AD21" s="23"/>
      <c r="AE21" s="23"/>
    </row>
    <row r="22" spans="1:31" ht="20.25" thickTop="1">
      <c r="A22" s="23"/>
      <c r="B22" s="6" t="s">
        <v>442</v>
      </c>
      <c r="C22" s="6"/>
      <c r="D22" s="93">
        <v>20</v>
      </c>
      <c r="E22" s="105" t="s">
        <v>387</v>
      </c>
      <c r="F22" s="6"/>
      <c r="I22" s="102" t="s">
        <v>443</v>
      </c>
      <c r="J22" s="102"/>
      <c r="K22" s="103"/>
      <c r="L22" s="103"/>
      <c r="M22" s="103"/>
      <c r="N22" s="102"/>
      <c r="O22" s="23"/>
      <c r="S22" s="23"/>
      <c r="T22" s="23"/>
      <c r="U22" s="23"/>
      <c r="V22" s="23"/>
      <c r="W22" s="23"/>
      <c r="X22" s="23"/>
      <c r="Y22" s="23"/>
      <c r="Z22" s="23"/>
      <c r="AA22" s="23"/>
      <c r="AB22" s="23"/>
      <c r="AC22" s="23"/>
      <c r="AD22" s="23"/>
      <c r="AE22" s="23"/>
    </row>
    <row r="23" spans="1:31" ht="19.5">
      <c r="A23" s="23"/>
      <c r="B23" s="6" t="s">
        <v>444</v>
      </c>
      <c r="C23" s="6"/>
      <c r="D23" s="93">
        <v>33</v>
      </c>
      <c r="E23" s="105" t="s">
        <v>387</v>
      </c>
      <c r="F23" s="6"/>
      <c r="I23" s="6" t="s">
        <v>445</v>
      </c>
      <c r="J23" s="6"/>
      <c r="K23" s="93"/>
      <c r="L23" s="93"/>
      <c r="M23" s="93"/>
      <c r="N23" s="6"/>
      <c r="O23" s="23"/>
      <c r="S23" s="23"/>
      <c r="T23" s="23"/>
      <c r="U23" s="23"/>
      <c r="V23" s="23"/>
      <c r="W23" s="23"/>
      <c r="X23" s="23"/>
      <c r="Y23" s="23"/>
      <c r="Z23" s="23"/>
      <c r="AA23" s="23"/>
      <c r="AB23" s="23"/>
      <c r="AC23" s="23"/>
      <c r="AD23" s="23"/>
      <c r="AE23" s="23"/>
    </row>
    <row r="24" spans="1:31" ht="19.5">
      <c r="A24" s="23"/>
      <c r="B24" s="6" t="s">
        <v>446</v>
      </c>
      <c r="C24" s="6"/>
      <c r="D24" s="93">
        <v>33</v>
      </c>
      <c r="E24" s="105" t="s">
        <v>387</v>
      </c>
      <c r="F24" s="6"/>
      <c r="I24" s="6" t="s">
        <v>447</v>
      </c>
      <c r="J24" s="6"/>
      <c r="K24" s="93"/>
      <c r="L24" s="93"/>
      <c r="M24" s="93"/>
      <c r="N24" s="6"/>
      <c r="O24" s="23"/>
      <c r="S24" s="23"/>
      <c r="T24" s="23"/>
      <c r="U24" s="23"/>
      <c r="V24" s="23"/>
      <c r="W24" s="23"/>
      <c r="X24" s="23"/>
      <c r="Y24" s="23"/>
      <c r="Z24" s="23"/>
      <c r="AA24" s="23"/>
      <c r="AB24" s="23"/>
      <c r="AC24" s="23"/>
      <c r="AD24" s="23"/>
      <c r="AE24" s="23"/>
    </row>
    <row r="25" spans="1:31" ht="19.5">
      <c r="A25" s="23"/>
      <c r="B25" s="6" t="s">
        <v>448</v>
      </c>
      <c r="C25" s="6"/>
      <c r="D25" s="93">
        <v>33</v>
      </c>
      <c r="E25" s="105" t="s">
        <v>387</v>
      </c>
      <c r="F25" s="6"/>
      <c r="I25" s="6" t="s">
        <v>449</v>
      </c>
      <c r="J25" s="6"/>
      <c r="K25" s="93"/>
      <c r="L25" s="93"/>
      <c r="M25" s="93"/>
      <c r="N25" s="6"/>
      <c r="O25" s="23"/>
      <c r="S25" s="23"/>
      <c r="T25" s="23"/>
      <c r="U25" s="23"/>
      <c r="V25" s="23"/>
      <c r="W25" s="23"/>
      <c r="X25" s="23"/>
      <c r="Y25" s="23"/>
      <c r="Z25" s="23"/>
      <c r="AA25" s="23"/>
      <c r="AB25" s="23"/>
      <c r="AC25" s="23"/>
      <c r="AD25" s="23"/>
      <c r="AE25" s="23"/>
    </row>
    <row r="26" spans="1:31" ht="19.5">
      <c r="A26" s="23"/>
      <c r="B26" s="6" t="s">
        <v>450</v>
      </c>
      <c r="C26" s="6"/>
      <c r="D26" s="93">
        <v>510</v>
      </c>
      <c r="E26" s="105" t="s">
        <v>387</v>
      </c>
      <c r="F26" s="6"/>
      <c r="I26" s="6" t="s">
        <v>451</v>
      </c>
      <c r="J26" s="6"/>
      <c r="K26" s="93"/>
      <c r="L26" s="93"/>
      <c r="M26" s="93"/>
      <c r="N26" s="6"/>
      <c r="O26" s="23"/>
      <c r="S26" s="23"/>
      <c r="T26" s="23"/>
      <c r="U26" s="23"/>
      <c r="V26" s="23"/>
      <c r="W26" s="23"/>
      <c r="X26" s="23"/>
      <c r="Y26" s="23"/>
      <c r="Z26" s="23"/>
      <c r="AA26" s="23"/>
      <c r="AB26" s="23"/>
      <c r="AC26" s="23"/>
      <c r="AD26" s="23"/>
      <c r="AE26" s="23"/>
    </row>
    <row r="27" spans="1:31" ht="19.5">
      <c r="A27" s="23"/>
      <c r="B27" s="6" t="s">
        <v>452</v>
      </c>
      <c r="C27" s="6"/>
      <c r="D27" s="93"/>
      <c r="E27" s="105" t="s">
        <v>387</v>
      </c>
      <c r="F27" s="6"/>
      <c r="I27" s="6"/>
      <c r="J27" s="6"/>
      <c r="K27" s="93"/>
      <c r="L27" s="93"/>
      <c r="M27" s="93"/>
      <c r="N27" s="6"/>
      <c r="O27" s="23"/>
      <c r="S27" s="23"/>
      <c r="T27" s="23"/>
      <c r="U27" s="23"/>
      <c r="V27" s="23"/>
      <c r="W27" s="23"/>
      <c r="X27" s="23"/>
      <c r="Y27" s="23"/>
      <c r="Z27" s="23"/>
      <c r="AA27" s="23"/>
      <c r="AB27" s="23"/>
      <c r="AC27" s="23"/>
      <c r="AD27" s="23"/>
      <c r="AE27" s="23"/>
    </row>
    <row r="28" spans="1:31" ht="19.5">
      <c r="A28" s="23"/>
      <c r="B28" s="6" t="s">
        <v>453</v>
      </c>
      <c r="C28" s="6"/>
      <c r="D28" s="93">
        <v>85</v>
      </c>
      <c r="E28" s="105" t="s">
        <v>387</v>
      </c>
      <c r="F28" s="6"/>
      <c r="I28" s="6"/>
      <c r="J28" s="6"/>
      <c r="K28" s="93"/>
      <c r="L28" s="93"/>
      <c r="M28" s="93"/>
      <c r="N28" s="6"/>
      <c r="O28" s="23"/>
      <c r="S28" s="23"/>
      <c r="T28" s="23"/>
      <c r="U28" s="23"/>
      <c r="V28" s="23"/>
      <c r="W28" s="23"/>
      <c r="X28" s="23"/>
      <c r="Y28" s="23"/>
      <c r="Z28" s="23"/>
      <c r="AA28" s="23"/>
      <c r="AB28" s="23"/>
      <c r="AC28" s="23"/>
      <c r="AD28" s="23"/>
      <c r="AE28" s="23"/>
    </row>
    <row r="29" spans="1:31" ht="19.5">
      <c r="A29" s="23"/>
      <c r="B29" s="6" t="s">
        <v>454</v>
      </c>
      <c r="C29" s="6"/>
      <c r="D29" s="93"/>
      <c r="E29" s="105" t="s">
        <v>387</v>
      </c>
      <c r="F29" s="6"/>
      <c r="I29" s="6"/>
      <c r="J29" s="6"/>
      <c r="K29" s="93"/>
      <c r="L29" s="93"/>
      <c r="M29" s="93"/>
      <c r="N29" s="6"/>
      <c r="O29" s="23"/>
      <c r="S29" s="23"/>
      <c r="T29" s="23"/>
      <c r="U29" s="23"/>
      <c r="V29" s="23"/>
      <c r="W29" s="23"/>
      <c r="X29" s="23"/>
      <c r="Y29" s="23"/>
      <c r="Z29" s="23"/>
      <c r="AA29" s="23"/>
      <c r="AB29" s="23"/>
      <c r="AC29" s="23"/>
      <c r="AD29" s="23"/>
      <c r="AE29" s="23"/>
    </row>
    <row r="30" spans="1:31" ht="19.5">
      <c r="A30" s="23"/>
      <c r="B30" s="6"/>
      <c r="C30" s="6"/>
      <c r="D30" s="93"/>
      <c r="E30" s="105" t="s">
        <v>387</v>
      </c>
      <c r="F30" s="6"/>
      <c r="I30" s="6"/>
      <c r="J30" s="6"/>
      <c r="K30" s="93"/>
      <c r="L30" s="93"/>
      <c r="M30" s="93"/>
      <c r="N30" s="6"/>
      <c r="O30" s="23"/>
      <c r="S30" s="23"/>
      <c r="T30" s="23"/>
      <c r="U30" s="23"/>
      <c r="V30" s="23"/>
      <c r="W30" s="23"/>
      <c r="X30" s="23"/>
      <c r="Y30" s="23"/>
      <c r="Z30" s="23"/>
      <c r="AA30" s="23"/>
      <c r="AB30" s="23"/>
      <c r="AC30" s="23"/>
      <c r="AD30" s="23"/>
      <c r="AE30" s="23"/>
    </row>
    <row r="31" spans="1:31" ht="19.5">
      <c r="A31" s="23"/>
      <c r="B31" s="6"/>
      <c r="C31" s="6"/>
      <c r="D31" s="93"/>
      <c r="E31" s="105" t="s">
        <v>387</v>
      </c>
      <c r="F31" s="6"/>
      <c r="I31" s="6"/>
      <c r="J31" s="6"/>
      <c r="K31" s="93"/>
      <c r="L31" s="93"/>
      <c r="M31" s="93"/>
      <c r="N31" s="6"/>
      <c r="O31" s="23"/>
      <c r="S31" s="23"/>
      <c r="T31" s="23"/>
      <c r="U31" s="23"/>
      <c r="V31" s="23"/>
      <c r="W31" s="23"/>
      <c r="X31" s="23"/>
      <c r="Y31" s="23"/>
      <c r="Z31" s="23"/>
      <c r="AA31" s="23"/>
      <c r="AB31" s="23"/>
      <c r="AC31" s="23"/>
      <c r="AD31" s="23"/>
      <c r="AE31" s="23"/>
    </row>
    <row r="32" spans="1:31" ht="19.5">
      <c r="A32" s="23"/>
      <c r="B32" s="6"/>
      <c r="C32" s="6"/>
      <c r="D32" s="93"/>
      <c r="E32" s="105" t="s">
        <v>387</v>
      </c>
      <c r="F32" s="6"/>
      <c r="I32" s="6"/>
      <c r="J32" s="6"/>
      <c r="K32" s="93"/>
      <c r="L32" s="93"/>
      <c r="M32" s="93"/>
      <c r="N32" s="6"/>
      <c r="O32" s="23"/>
      <c r="S32" s="23"/>
      <c r="T32" s="23"/>
      <c r="U32" s="23"/>
      <c r="V32" s="23"/>
      <c r="W32" s="23"/>
      <c r="X32" s="23"/>
      <c r="Y32" s="23"/>
      <c r="Z32" s="23"/>
      <c r="AA32" s="23"/>
      <c r="AB32" s="23"/>
      <c r="AC32" s="23"/>
      <c r="AD32" s="23"/>
      <c r="AE32" s="23"/>
    </row>
    <row r="33" spans="1:31" ht="19.5">
      <c r="A33" s="23"/>
      <c r="B33" s="6"/>
      <c r="C33" s="6"/>
      <c r="D33" s="93"/>
      <c r="E33" s="105" t="s">
        <v>387</v>
      </c>
      <c r="F33" s="6"/>
      <c r="I33" s="6"/>
      <c r="J33" s="6"/>
      <c r="K33" s="93"/>
      <c r="L33" s="93"/>
      <c r="M33" s="93"/>
      <c r="N33" s="6"/>
      <c r="O33" s="23"/>
      <c r="S33" s="23"/>
      <c r="T33" s="23"/>
      <c r="U33" s="23"/>
      <c r="V33" s="23"/>
      <c r="W33" s="23"/>
      <c r="X33" s="23"/>
      <c r="Y33" s="23"/>
      <c r="Z33" s="23"/>
      <c r="AA33" s="23"/>
      <c r="AB33" s="23"/>
      <c r="AC33" s="23"/>
      <c r="AD33" s="23"/>
      <c r="AE33" s="23"/>
    </row>
    <row r="34" spans="1:31">
      <c r="A34" s="23"/>
      <c r="B34" s="6"/>
      <c r="C34" s="6"/>
      <c r="D34" s="93"/>
      <c r="E34" s="6"/>
      <c r="F34" s="6"/>
      <c r="I34" s="6"/>
      <c r="J34" s="6"/>
      <c r="K34" s="93"/>
      <c r="L34" s="93"/>
      <c r="M34" s="93"/>
      <c r="N34" s="6"/>
      <c r="O34" s="23"/>
      <c r="S34" s="23"/>
      <c r="T34" s="23"/>
      <c r="U34" s="23"/>
      <c r="V34" s="23"/>
      <c r="W34" s="23"/>
      <c r="X34" s="23"/>
      <c r="Y34" s="23"/>
      <c r="Z34" s="23"/>
      <c r="AA34" s="23"/>
      <c r="AB34" s="23"/>
      <c r="AC34" s="23"/>
      <c r="AD34" s="23"/>
      <c r="AE34" s="23"/>
    </row>
    <row r="35" spans="1:31">
      <c r="A35" s="23"/>
      <c r="B35" s="6" t="s">
        <v>455</v>
      </c>
      <c r="C35" s="6"/>
      <c r="D35" s="93"/>
      <c r="E35" s="6" t="s">
        <v>456</v>
      </c>
      <c r="F35" s="6" t="s">
        <v>457</v>
      </c>
      <c r="I35" s="6"/>
      <c r="J35" s="6"/>
      <c r="K35" s="93"/>
      <c r="L35" s="93"/>
      <c r="M35" s="93"/>
      <c r="N35" s="6"/>
      <c r="O35" s="23"/>
      <c r="S35" s="23"/>
      <c r="T35" s="23"/>
      <c r="U35" s="23"/>
      <c r="V35" s="23"/>
      <c r="W35" s="23"/>
      <c r="X35" s="23"/>
      <c r="Y35" s="23"/>
      <c r="Z35" s="23"/>
      <c r="AA35" s="23"/>
      <c r="AB35" s="23"/>
      <c r="AC35" s="23"/>
      <c r="AD35" s="23"/>
      <c r="AE35" s="23"/>
    </row>
    <row r="36" spans="1:31">
      <c r="A36" s="23"/>
      <c r="B36" s="6" t="s">
        <v>458</v>
      </c>
      <c r="C36" s="6"/>
      <c r="D36" s="93"/>
      <c r="E36" s="6" t="s">
        <v>456</v>
      </c>
      <c r="F36" s="6"/>
      <c r="I36" s="6"/>
      <c r="J36" s="6"/>
      <c r="K36" s="93"/>
      <c r="L36" s="93"/>
      <c r="M36" s="93"/>
      <c r="N36" s="6"/>
      <c r="O36" s="23"/>
      <c r="S36" s="23"/>
      <c r="T36" s="23"/>
      <c r="U36" s="23"/>
      <c r="V36" s="23"/>
      <c r="W36" s="23"/>
      <c r="X36" s="23"/>
      <c r="Y36" s="23"/>
      <c r="Z36" s="23"/>
      <c r="AA36" s="23"/>
      <c r="AB36" s="23"/>
      <c r="AC36" s="23"/>
      <c r="AD36" s="23"/>
      <c r="AE36" s="23"/>
    </row>
    <row r="37" spans="1:31">
      <c r="A37" s="23"/>
      <c r="B37" s="6" t="s">
        <v>459</v>
      </c>
      <c r="C37" s="6"/>
      <c r="D37" s="93"/>
      <c r="E37" s="6" t="s">
        <v>456</v>
      </c>
      <c r="F37" s="6"/>
      <c r="I37" s="6"/>
      <c r="J37" s="6"/>
      <c r="K37" s="93"/>
      <c r="L37" s="93"/>
      <c r="M37" s="93"/>
      <c r="N37" s="6"/>
      <c r="O37" s="23"/>
      <c r="S37" s="23"/>
      <c r="T37" s="23"/>
      <c r="U37" s="23"/>
      <c r="V37" s="23"/>
      <c r="W37" s="23"/>
      <c r="X37" s="23"/>
      <c r="Y37" s="23"/>
      <c r="Z37" s="23"/>
      <c r="AA37" s="23"/>
      <c r="AB37" s="23"/>
      <c r="AC37" s="23"/>
      <c r="AD37" s="23"/>
      <c r="AE37" s="23"/>
    </row>
    <row r="38" spans="1:31">
      <c r="A38" s="23"/>
      <c r="B38" s="6" t="s">
        <v>460</v>
      </c>
      <c r="C38" s="6"/>
      <c r="D38" s="93"/>
      <c r="E38" s="6" t="s">
        <v>456</v>
      </c>
      <c r="F38" s="6"/>
      <c r="I38" s="6"/>
      <c r="J38" s="6"/>
      <c r="K38" s="93"/>
      <c r="L38" s="93"/>
      <c r="M38" s="93"/>
      <c r="N38" s="6"/>
      <c r="O38" s="23"/>
      <c r="S38" s="23"/>
      <c r="T38" s="23"/>
      <c r="U38" s="23"/>
      <c r="V38" s="23"/>
      <c r="W38" s="23"/>
      <c r="X38" s="23"/>
      <c r="Y38" s="23"/>
      <c r="Z38" s="23"/>
      <c r="AA38" s="23"/>
      <c r="AB38" s="23"/>
      <c r="AC38" s="23"/>
      <c r="AD38" s="23"/>
      <c r="AE38" s="23"/>
    </row>
    <row r="39" spans="1:31">
      <c r="A39" s="23"/>
      <c r="B39" s="6"/>
      <c r="C39" s="6"/>
      <c r="D39" s="93"/>
      <c r="E39" s="6" t="s">
        <v>456</v>
      </c>
      <c r="F39" s="6"/>
      <c r="I39" s="6"/>
      <c r="J39" s="6"/>
      <c r="K39" s="93"/>
      <c r="L39" s="93"/>
      <c r="M39" s="93"/>
      <c r="N39" s="6"/>
      <c r="O39" s="23"/>
      <c r="S39" s="23"/>
      <c r="T39" s="23"/>
      <c r="U39" s="23"/>
      <c r="V39" s="23"/>
      <c r="W39" s="23"/>
      <c r="X39" s="23"/>
      <c r="Y39" s="23"/>
      <c r="Z39" s="23"/>
      <c r="AA39" s="23"/>
      <c r="AB39" s="23"/>
      <c r="AC39" s="23"/>
      <c r="AD39" s="23"/>
      <c r="AE39" s="23"/>
    </row>
    <row r="40" spans="1:31">
      <c r="A40" s="23"/>
      <c r="B40" s="6"/>
      <c r="C40" s="6"/>
      <c r="D40" s="93"/>
      <c r="E40" s="6" t="s">
        <v>456</v>
      </c>
      <c r="F40" s="6"/>
      <c r="I40" s="6"/>
      <c r="J40" s="6"/>
      <c r="K40" s="93"/>
      <c r="L40" s="93"/>
      <c r="M40" s="93"/>
      <c r="N40" s="6"/>
      <c r="O40" s="23"/>
      <c r="S40" s="23"/>
      <c r="T40" s="23"/>
      <c r="U40" s="23"/>
      <c r="V40" s="23"/>
      <c r="W40" s="23"/>
      <c r="X40" s="23"/>
      <c r="Y40" s="23"/>
      <c r="Z40" s="23"/>
      <c r="AA40" s="23"/>
      <c r="AB40" s="23"/>
      <c r="AC40" s="23"/>
      <c r="AD40" s="23"/>
      <c r="AE40" s="23"/>
    </row>
    <row r="41" spans="1:31">
      <c r="A41" s="23"/>
      <c r="B41" s="6"/>
      <c r="C41" s="6"/>
      <c r="D41" s="93"/>
      <c r="E41" s="6" t="s">
        <v>456</v>
      </c>
      <c r="F41" s="6"/>
      <c r="I41" s="6"/>
      <c r="J41" s="6"/>
      <c r="K41" s="93"/>
      <c r="L41" s="93"/>
      <c r="M41" s="93"/>
      <c r="N41" s="6"/>
      <c r="O41" s="23"/>
      <c r="S41" s="23"/>
      <c r="T41" s="23"/>
      <c r="U41" s="23"/>
      <c r="V41" s="23"/>
      <c r="W41" s="23"/>
      <c r="X41" s="23"/>
      <c r="Y41" s="23"/>
      <c r="Z41" s="23"/>
      <c r="AA41" s="23"/>
      <c r="AB41" s="23"/>
      <c r="AC41" s="23"/>
      <c r="AD41" s="23"/>
      <c r="AE41" s="23"/>
    </row>
    <row r="42" spans="1:31">
      <c r="A42" s="23"/>
      <c r="B42" s="6"/>
      <c r="C42" s="6"/>
      <c r="D42" s="93"/>
      <c r="E42" s="6"/>
      <c r="F42" s="6"/>
      <c r="I42" s="6"/>
      <c r="J42" s="6"/>
      <c r="K42" s="93"/>
      <c r="L42" s="93"/>
      <c r="M42" s="93"/>
      <c r="N42" s="6"/>
      <c r="O42" s="23"/>
      <c r="S42" s="23"/>
      <c r="T42" s="23"/>
      <c r="U42" s="23"/>
      <c r="V42" s="23"/>
      <c r="W42" s="23"/>
      <c r="X42" s="23"/>
      <c r="Y42" s="23"/>
      <c r="Z42" s="23"/>
      <c r="AA42" s="23"/>
      <c r="AB42" s="23"/>
      <c r="AC42" s="23"/>
      <c r="AD42" s="23"/>
      <c r="AE42" s="23"/>
    </row>
    <row r="43" spans="1:31">
      <c r="A43" s="23"/>
      <c r="B43" s="6"/>
      <c r="C43" s="6"/>
      <c r="D43" s="93"/>
      <c r="E43" s="6"/>
      <c r="F43" s="6"/>
      <c r="I43" s="6"/>
      <c r="J43" s="6"/>
      <c r="K43" s="93"/>
      <c r="L43" s="93"/>
      <c r="M43" s="93"/>
      <c r="N43" s="6"/>
      <c r="O43" s="23"/>
      <c r="S43" s="23"/>
      <c r="T43" s="23"/>
      <c r="U43" s="23"/>
      <c r="V43" s="23"/>
      <c r="W43" s="23"/>
      <c r="X43" s="23"/>
      <c r="Y43" s="23"/>
      <c r="Z43" s="23"/>
      <c r="AA43" s="23"/>
      <c r="AB43" s="23"/>
      <c r="AC43" s="23"/>
      <c r="AD43" s="23"/>
      <c r="AE43" s="23"/>
    </row>
    <row r="44" spans="1:31">
      <c r="A44" s="23"/>
      <c r="B44" s="6"/>
      <c r="C44" s="6"/>
      <c r="D44" s="93"/>
      <c r="E44" s="6"/>
      <c r="F44" s="6"/>
      <c r="I44" s="6"/>
      <c r="J44" s="6"/>
      <c r="K44" s="93"/>
      <c r="L44" s="93"/>
      <c r="M44" s="93"/>
      <c r="N44" s="6"/>
      <c r="O44" s="23"/>
      <c r="S44" s="23"/>
      <c r="T44" s="23"/>
      <c r="U44" s="23"/>
      <c r="V44" s="23"/>
      <c r="W44" s="23"/>
      <c r="X44" s="23"/>
      <c r="Y44" s="23"/>
      <c r="Z44" s="23"/>
      <c r="AA44" s="23"/>
      <c r="AB44" s="23"/>
      <c r="AC44" s="23"/>
      <c r="AD44" s="23"/>
      <c r="AE44" s="23"/>
    </row>
    <row r="45" spans="1:31">
      <c r="A45" s="23"/>
      <c r="B45" s="6"/>
      <c r="C45" s="6"/>
      <c r="D45" s="93"/>
      <c r="E45" s="6"/>
      <c r="F45" s="6"/>
      <c r="I45" s="6"/>
      <c r="J45" s="6"/>
      <c r="K45" s="93"/>
      <c r="L45" s="93"/>
      <c r="M45" s="93"/>
      <c r="N45" s="6"/>
      <c r="O45" s="23"/>
      <c r="S45" s="23"/>
      <c r="T45" s="23"/>
      <c r="U45" s="23"/>
      <c r="V45" s="23"/>
      <c r="W45" s="23"/>
      <c r="X45" s="23"/>
      <c r="Y45" s="23"/>
      <c r="Z45" s="23"/>
      <c r="AA45" s="23"/>
      <c r="AB45" s="23"/>
      <c r="AC45" s="23"/>
      <c r="AD45" s="23"/>
      <c r="AE45" s="23"/>
    </row>
    <row r="46" spans="1:31">
      <c r="A46" s="23"/>
      <c r="B46" s="6"/>
      <c r="C46" s="6"/>
      <c r="D46" s="93"/>
      <c r="E46" s="6"/>
      <c r="F46" s="6"/>
      <c r="I46" s="6"/>
      <c r="J46" s="6"/>
      <c r="K46" s="93"/>
      <c r="L46" s="93"/>
      <c r="M46" s="93"/>
      <c r="N46" s="6"/>
      <c r="O46" s="23"/>
      <c r="S46" s="23"/>
      <c r="T46" s="23"/>
      <c r="U46" s="23"/>
      <c r="V46" s="23"/>
      <c r="W46" s="23"/>
      <c r="X46" s="23"/>
      <c r="Y46" s="23"/>
      <c r="Z46" s="23"/>
      <c r="AA46" s="23"/>
      <c r="AB46" s="23"/>
      <c r="AC46" s="23"/>
      <c r="AD46" s="23"/>
      <c r="AE46" s="23"/>
    </row>
    <row r="47" spans="1:31">
      <c r="A47" s="23"/>
      <c r="B47" s="6"/>
      <c r="C47" s="6"/>
      <c r="D47" s="93"/>
      <c r="E47" s="6"/>
      <c r="F47" s="6"/>
      <c r="I47" s="6"/>
      <c r="J47" s="6"/>
      <c r="K47" s="93"/>
      <c r="L47" s="93"/>
      <c r="M47" s="93"/>
      <c r="N47" s="6"/>
      <c r="O47" s="23"/>
      <c r="S47" s="23"/>
      <c r="T47" s="23"/>
      <c r="U47" s="23"/>
      <c r="V47" s="23"/>
      <c r="W47" s="23"/>
      <c r="X47" s="23"/>
      <c r="Y47" s="23"/>
      <c r="Z47" s="23"/>
      <c r="AA47" s="23"/>
      <c r="AB47" s="23"/>
      <c r="AC47" s="23"/>
      <c r="AD47" s="23"/>
      <c r="AE47" s="23"/>
    </row>
    <row r="48" spans="1:31">
      <c r="A48" s="23"/>
      <c r="B48" s="6"/>
      <c r="C48" s="6"/>
      <c r="D48" s="93"/>
      <c r="E48" s="6"/>
      <c r="F48" s="6"/>
      <c r="I48" s="6"/>
      <c r="J48" s="6"/>
      <c r="K48" s="93"/>
      <c r="L48" s="93"/>
      <c r="M48" s="93"/>
      <c r="N48" s="6"/>
      <c r="O48" s="23"/>
      <c r="S48" s="23"/>
      <c r="T48" s="23"/>
      <c r="U48" s="23"/>
      <c r="V48" s="23"/>
      <c r="W48" s="23"/>
      <c r="X48" s="23"/>
      <c r="Y48" s="23"/>
      <c r="Z48" s="23"/>
      <c r="AA48" s="23"/>
      <c r="AB48" s="23"/>
      <c r="AC48" s="23"/>
      <c r="AD48" s="23"/>
      <c r="AE48" s="23"/>
    </row>
    <row r="49" spans="1:31">
      <c r="A49" s="23"/>
      <c r="I49" s="6"/>
      <c r="J49" s="6"/>
      <c r="K49" s="93"/>
      <c r="L49" s="93"/>
      <c r="M49" s="93"/>
      <c r="N49" s="6"/>
      <c r="O49" s="23"/>
      <c r="S49" s="23"/>
      <c r="T49" s="23"/>
      <c r="U49" s="23"/>
      <c r="V49" s="23"/>
      <c r="W49" s="23"/>
      <c r="X49" s="23"/>
      <c r="Y49" s="23"/>
      <c r="Z49" s="23"/>
      <c r="AA49" s="23"/>
      <c r="AB49" s="23"/>
      <c r="AC49" s="23"/>
      <c r="AD49" s="23"/>
      <c r="AE49" s="23"/>
    </row>
    <row r="50" spans="1:31">
      <c r="A50" s="23"/>
      <c r="B50" s="23"/>
      <c r="C50" s="23"/>
      <c r="D50" s="23"/>
      <c r="E50" s="23"/>
      <c r="F50" s="23"/>
      <c r="G50" s="23"/>
      <c r="H50" s="23"/>
      <c r="I50" s="23"/>
      <c r="J50" s="23"/>
      <c r="K50" s="23"/>
      <c r="L50" s="23"/>
      <c r="M50" s="23"/>
      <c r="N50" s="23"/>
      <c r="O50" s="23"/>
      <c r="S50" s="23"/>
      <c r="T50" s="23"/>
      <c r="U50" s="23"/>
      <c r="V50" s="23"/>
      <c r="W50" s="23"/>
      <c r="X50" s="23"/>
      <c r="Y50" s="23"/>
      <c r="Z50" s="23"/>
      <c r="AA50" s="23"/>
      <c r="AB50" s="23"/>
      <c r="AC50" s="23"/>
      <c r="AD50" s="23"/>
      <c r="AE50" s="23"/>
    </row>
    <row r="51" spans="1:31">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row>
    <row r="52" spans="1:31">
      <c r="A52" s="23"/>
      <c r="B52" s="23" t="s">
        <v>461</v>
      </c>
      <c r="C52" s="23"/>
      <c r="D52" s="23"/>
      <c r="E52" s="23"/>
      <c r="F52" s="23"/>
      <c r="G52" s="23"/>
      <c r="H52" s="23"/>
      <c r="I52" s="23" t="s">
        <v>462</v>
      </c>
      <c r="J52" s="23"/>
      <c r="K52" s="23"/>
      <c r="L52" s="23" t="s">
        <v>463</v>
      </c>
      <c r="M52" s="23"/>
      <c r="N52" s="23"/>
      <c r="O52" s="23" t="s">
        <v>464</v>
      </c>
      <c r="P52" s="23"/>
      <c r="Q52" s="23"/>
      <c r="R52" s="23" t="s">
        <v>465</v>
      </c>
      <c r="S52" s="23"/>
      <c r="T52" s="23"/>
      <c r="U52" s="23" t="s">
        <v>466</v>
      </c>
      <c r="V52" s="23"/>
      <c r="W52" s="23" t="s">
        <v>467</v>
      </c>
      <c r="X52" s="23"/>
      <c r="Y52" s="23"/>
      <c r="Z52" s="23"/>
      <c r="AA52" s="23"/>
      <c r="AB52" s="23"/>
      <c r="AC52" s="23"/>
      <c r="AD52" s="23"/>
      <c r="AE52" s="23"/>
    </row>
    <row r="53" spans="1:31">
      <c r="A53" s="23"/>
      <c r="B53" s="2" t="s">
        <v>468</v>
      </c>
      <c r="C53" s="2" t="s">
        <v>436</v>
      </c>
      <c r="D53" s="2" t="s">
        <v>469</v>
      </c>
      <c r="E53" s="2" t="s">
        <v>470</v>
      </c>
      <c r="F53" s="83" t="s">
        <v>471</v>
      </c>
      <c r="G53" s="2" t="s">
        <v>472</v>
      </c>
      <c r="H53" s="2" t="s">
        <v>473</v>
      </c>
      <c r="I53" s="106" t="s">
        <v>474</v>
      </c>
      <c r="J53" s="2" t="s">
        <v>475</v>
      </c>
      <c r="K53" s="107" t="s">
        <v>476</v>
      </c>
      <c r="L53" s="106" t="s">
        <v>474</v>
      </c>
      <c r="M53" s="2" t="s">
        <v>475</v>
      </c>
      <c r="N53" s="107" t="s">
        <v>476</v>
      </c>
      <c r="O53" s="106" t="s">
        <v>474</v>
      </c>
      <c r="P53" s="2" t="s">
        <v>475</v>
      </c>
      <c r="Q53" s="107" t="s">
        <v>476</v>
      </c>
      <c r="R53" s="106" t="s">
        <v>474</v>
      </c>
      <c r="S53" s="2" t="s">
        <v>475</v>
      </c>
      <c r="T53" s="107" t="s">
        <v>476</v>
      </c>
      <c r="U53" s="106" t="s">
        <v>474</v>
      </c>
      <c r="V53" s="107" t="s">
        <v>475</v>
      </c>
      <c r="W53" s="108" t="s">
        <v>474</v>
      </c>
      <c r="X53" s="109" t="s">
        <v>477</v>
      </c>
      <c r="Y53" s="23"/>
      <c r="Z53" s="23"/>
      <c r="AA53" s="23"/>
      <c r="AB53" s="23"/>
      <c r="AC53" s="23"/>
      <c r="AD53" s="23"/>
      <c r="AE53" s="23"/>
    </row>
    <row r="54" spans="1:31">
      <c r="A54" s="23"/>
      <c r="B54" s="2" t="s">
        <v>142</v>
      </c>
      <c r="C54" s="2" t="s">
        <v>142</v>
      </c>
      <c r="D54" s="2" t="s">
        <v>142</v>
      </c>
      <c r="E54" s="2" t="s">
        <v>142</v>
      </c>
      <c r="F54" s="83" t="s">
        <v>142</v>
      </c>
      <c r="G54" s="2" t="s">
        <v>472</v>
      </c>
      <c r="H54" s="2" t="s">
        <v>473</v>
      </c>
      <c r="I54" s="106" t="s">
        <v>478</v>
      </c>
      <c r="J54" s="2" t="s">
        <v>479</v>
      </c>
      <c r="K54" s="107" t="s">
        <v>480</v>
      </c>
      <c r="L54" s="106" t="s">
        <v>481</v>
      </c>
      <c r="M54" s="2" t="s">
        <v>482</v>
      </c>
      <c r="N54" s="107" t="s">
        <v>483</v>
      </c>
      <c r="O54" s="106" t="s">
        <v>484</v>
      </c>
      <c r="P54" s="2" t="s">
        <v>485</v>
      </c>
      <c r="Q54" s="107" t="s">
        <v>486</v>
      </c>
      <c r="R54" s="106" t="s">
        <v>487</v>
      </c>
      <c r="S54" s="2" t="s">
        <v>488</v>
      </c>
      <c r="T54" s="107" t="s">
        <v>489</v>
      </c>
      <c r="U54" s="106" t="s">
        <v>490</v>
      </c>
      <c r="V54" s="107" t="s">
        <v>491</v>
      </c>
      <c r="W54" s="108" t="s">
        <v>492</v>
      </c>
      <c r="X54" s="109" t="s">
        <v>493</v>
      </c>
      <c r="Y54" s="23"/>
      <c r="Z54" s="23"/>
      <c r="AA54" s="23"/>
      <c r="AB54" s="23"/>
      <c r="AC54" s="23"/>
      <c r="AD54" s="23"/>
      <c r="AE54" s="23"/>
    </row>
    <row r="55" spans="1:31" ht="19.5" thickBot="1">
      <c r="A55" s="23"/>
      <c r="B55" s="85" t="s">
        <v>142</v>
      </c>
      <c r="C55" s="85" t="s">
        <v>142</v>
      </c>
      <c r="D55" s="85" t="s">
        <v>142</v>
      </c>
      <c r="E55" s="85" t="s">
        <v>142</v>
      </c>
      <c r="F55" s="86" t="s">
        <v>142</v>
      </c>
      <c r="G55" s="85" t="s">
        <v>494</v>
      </c>
      <c r="H55" s="85" t="s">
        <v>495</v>
      </c>
      <c r="I55" s="110" t="s">
        <v>496</v>
      </c>
      <c r="J55" s="85" t="s">
        <v>496</v>
      </c>
      <c r="K55" s="111" t="s">
        <v>142</v>
      </c>
      <c r="L55" s="110" t="s">
        <v>496</v>
      </c>
      <c r="M55" s="85" t="s">
        <v>496</v>
      </c>
      <c r="N55" s="111" t="s">
        <v>142</v>
      </c>
      <c r="O55" s="110" t="s">
        <v>496</v>
      </c>
      <c r="P55" s="85" t="s">
        <v>496</v>
      </c>
      <c r="Q55" s="111" t="s">
        <v>142</v>
      </c>
      <c r="R55" s="110" t="s">
        <v>496</v>
      </c>
      <c r="S55" s="85" t="s">
        <v>496</v>
      </c>
      <c r="T55" s="111" t="s">
        <v>142</v>
      </c>
      <c r="U55" s="110" t="s">
        <v>496</v>
      </c>
      <c r="V55" s="111" t="s">
        <v>496</v>
      </c>
      <c r="W55" s="112" t="s">
        <v>496</v>
      </c>
      <c r="X55" s="90" t="s">
        <v>497</v>
      </c>
      <c r="Y55" s="23"/>
      <c r="Z55" s="23"/>
      <c r="AA55" s="23"/>
      <c r="AB55" s="23"/>
      <c r="AC55" s="23"/>
      <c r="AD55" s="23"/>
      <c r="AE55" s="23"/>
    </row>
    <row r="56" spans="1:31" ht="19.5" thickTop="1">
      <c r="A56" s="23"/>
      <c r="B56" s="102" t="s">
        <v>498</v>
      </c>
      <c r="C56" s="102" t="s">
        <v>499</v>
      </c>
      <c r="D56" s="102" t="s">
        <v>500</v>
      </c>
      <c r="E56" s="102" t="s">
        <v>501</v>
      </c>
      <c r="F56" s="102" t="s">
        <v>502</v>
      </c>
      <c r="G56" s="102">
        <v>150</v>
      </c>
      <c r="H56" s="102">
        <v>33</v>
      </c>
      <c r="I56" s="103">
        <v>3.1819999999999999</v>
      </c>
      <c r="J56" s="103">
        <v>166</v>
      </c>
      <c r="K56" s="103">
        <v>0.33</v>
      </c>
      <c r="L56" s="103">
        <v>7.5999999999999998E-2</v>
      </c>
      <c r="M56" s="103">
        <v>8</v>
      </c>
      <c r="N56" s="103">
        <v>0.02</v>
      </c>
      <c r="O56" s="103">
        <v>-1.4690000000000001</v>
      </c>
      <c r="P56" s="103">
        <v>147</v>
      </c>
      <c r="Q56" s="103">
        <v>0.36</v>
      </c>
      <c r="R56" s="103">
        <v>-0.18099999999999999</v>
      </c>
      <c r="S56" s="103">
        <v>9.1</v>
      </c>
      <c r="T56" s="103">
        <v>0.02</v>
      </c>
      <c r="U56" s="103">
        <v>0.125</v>
      </c>
      <c r="V56" s="103">
        <v>4</v>
      </c>
      <c r="W56" s="103">
        <v>8.5999999999999993E-2</v>
      </c>
      <c r="X56" s="103">
        <v>0.14699999999999999</v>
      </c>
      <c r="Y56" s="23"/>
      <c r="Z56" s="23"/>
      <c r="AA56" s="23"/>
      <c r="AB56" s="23"/>
      <c r="AC56" s="23"/>
      <c r="AD56" s="23"/>
      <c r="AE56" s="23"/>
    </row>
    <row r="57" spans="1:31" ht="19.5">
      <c r="A57" s="23"/>
      <c r="B57" s="6" t="s">
        <v>503</v>
      </c>
      <c r="C57" s="6" t="s">
        <v>504</v>
      </c>
      <c r="D57" s="6" t="s">
        <v>505</v>
      </c>
      <c r="E57" s="6" t="s">
        <v>501</v>
      </c>
      <c r="F57" s="6"/>
      <c r="G57" s="6">
        <v>116</v>
      </c>
      <c r="H57" s="6">
        <v>33</v>
      </c>
      <c r="I57" s="93">
        <v>2.2549999999999999</v>
      </c>
      <c r="J57" s="93">
        <v>215.74600000000001</v>
      </c>
      <c r="K57" s="93">
        <v>0.3</v>
      </c>
      <c r="L57" s="93">
        <v>4.9000000000000002E-2</v>
      </c>
      <c r="M57" s="93">
        <v>7.8449999999999998</v>
      </c>
      <c r="N57" s="93">
        <v>1.0908661110750603E-2</v>
      </c>
      <c r="O57" s="93">
        <v>-1.2258</v>
      </c>
      <c r="P57" s="93">
        <v>194.17140000000001</v>
      </c>
      <c r="Q57" s="93">
        <v>0.3</v>
      </c>
      <c r="R57" s="93">
        <v>-0.18099999999999999</v>
      </c>
      <c r="S57" s="93">
        <v>8.6295000000000002</v>
      </c>
      <c r="T57" s="93">
        <v>1.0908661110750603E-2</v>
      </c>
      <c r="U57" s="93">
        <v>0.125</v>
      </c>
      <c r="V57" s="93">
        <v>4.1188000000000002</v>
      </c>
      <c r="W57" s="93">
        <v>8.8300000000000003E-2</v>
      </c>
      <c r="X57" s="93">
        <v>0.113</v>
      </c>
      <c r="Y57" s="115" t="s">
        <v>508</v>
      </c>
      <c r="Z57" s="23"/>
      <c r="AA57" s="23"/>
      <c r="AB57" s="23"/>
      <c r="AC57" s="23"/>
      <c r="AD57" s="23"/>
      <c r="AE57" s="23"/>
    </row>
    <row r="58" spans="1:31">
      <c r="A58" s="23"/>
      <c r="B58" s="6"/>
      <c r="C58" s="6"/>
      <c r="D58" s="6"/>
      <c r="E58" s="6"/>
      <c r="F58" s="6"/>
      <c r="G58" s="6"/>
      <c r="H58" s="6"/>
      <c r="I58" s="93"/>
      <c r="J58" s="93"/>
      <c r="K58" s="93"/>
      <c r="L58" s="93"/>
      <c r="M58" s="93"/>
      <c r="N58" s="93"/>
      <c r="O58" s="93"/>
      <c r="P58" s="93"/>
      <c r="Q58" s="93"/>
      <c r="R58" s="93"/>
      <c r="S58" s="93"/>
      <c r="T58" s="93"/>
      <c r="U58" s="93"/>
      <c r="V58" s="93"/>
      <c r="W58" s="93"/>
      <c r="X58" s="93"/>
    </row>
    <row r="59" spans="1:31">
      <c r="A59" s="23"/>
      <c r="B59" s="6"/>
      <c r="C59" s="6"/>
      <c r="D59" s="6"/>
      <c r="E59" s="6"/>
      <c r="F59" s="6"/>
      <c r="G59" s="6"/>
      <c r="H59" s="6"/>
      <c r="I59" s="93"/>
      <c r="J59" s="93"/>
      <c r="K59" s="93"/>
      <c r="L59" s="93"/>
      <c r="M59" s="93"/>
      <c r="N59" s="93"/>
      <c r="O59" s="93"/>
      <c r="P59" s="93"/>
      <c r="Q59" s="93"/>
      <c r="R59" s="93"/>
      <c r="S59" s="93"/>
      <c r="T59" s="93"/>
      <c r="U59" s="93"/>
      <c r="V59" s="93"/>
      <c r="W59" s="93"/>
      <c r="X59" s="93"/>
    </row>
    <row r="60" spans="1:31">
      <c r="A60" s="23"/>
      <c r="B60" s="6"/>
      <c r="C60" s="6"/>
      <c r="D60" s="6"/>
      <c r="E60" s="6"/>
      <c r="F60" s="6"/>
      <c r="G60" s="6"/>
      <c r="H60" s="6"/>
      <c r="I60" s="93"/>
      <c r="J60" s="93"/>
      <c r="K60" s="93"/>
      <c r="L60" s="93"/>
      <c r="M60" s="93"/>
      <c r="N60" s="93"/>
      <c r="O60" s="93"/>
      <c r="P60" s="93"/>
      <c r="Q60" s="93"/>
      <c r="R60" s="93"/>
      <c r="S60" s="93"/>
      <c r="T60" s="93"/>
      <c r="U60" s="93"/>
      <c r="V60" s="93"/>
      <c r="W60" s="93"/>
      <c r="X60" s="93"/>
    </row>
    <row r="61" spans="1:31">
      <c r="A61" s="23"/>
      <c r="B61" s="23"/>
      <c r="C61" s="23"/>
      <c r="D61" s="23"/>
      <c r="E61" s="23"/>
      <c r="F61" s="23"/>
      <c r="G61" s="23"/>
      <c r="H61" s="23"/>
      <c r="I61" s="23"/>
      <c r="J61" s="23"/>
      <c r="K61" s="23"/>
      <c r="L61" s="23"/>
      <c r="M61" s="23"/>
      <c r="N61" s="23"/>
      <c r="O61" s="23"/>
      <c r="P61" s="23"/>
    </row>
    <row r="62" spans="1:31">
      <c r="A62" s="23"/>
      <c r="B62" s="23"/>
      <c r="C62" s="23"/>
      <c r="D62" s="23"/>
      <c r="E62" s="23"/>
      <c r="F62" s="23"/>
      <c r="G62" s="23"/>
      <c r="H62" s="23"/>
      <c r="I62" s="23"/>
      <c r="J62" s="23"/>
      <c r="K62" s="23"/>
      <c r="L62" s="23"/>
      <c r="M62" s="23"/>
      <c r="N62" s="23"/>
      <c r="O62" s="23"/>
      <c r="P62" s="23"/>
      <c r="Q62" s="23"/>
      <c r="R62" s="23"/>
      <c r="S62" s="23"/>
      <c r="T62" s="23"/>
      <c r="U62" s="23"/>
    </row>
    <row r="63" spans="1:31" ht="19.5">
      <c r="A63" s="23"/>
      <c r="B63" s="23"/>
      <c r="C63" s="113"/>
      <c r="D63" s="113"/>
      <c r="E63" s="113"/>
      <c r="F63" s="113"/>
      <c r="G63" s="113"/>
      <c r="H63" s="113"/>
      <c r="I63" s="23"/>
      <c r="J63" s="23"/>
      <c r="K63" s="23"/>
      <c r="L63" s="23"/>
      <c r="M63" s="113"/>
      <c r="N63" s="113"/>
      <c r="O63" s="113"/>
      <c r="P63" s="113"/>
      <c r="Q63" s="113"/>
      <c r="R63" s="113"/>
      <c r="S63" s="23"/>
      <c r="T63" s="23"/>
      <c r="U63" s="23"/>
    </row>
    <row r="64" spans="1:31" ht="19.5">
      <c r="A64" s="23"/>
      <c r="B64" s="23"/>
      <c r="C64" s="113"/>
      <c r="D64" s="113"/>
      <c r="E64" s="113"/>
      <c r="F64" s="113"/>
      <c r="G64" s="113"/>
      <c r="H64" s="113"/>
      <c r="I64" s="23"/>
      <c r="J64" s="23"/>
      <c r="K64" s="23"/>
      <c r="L64" s="23"/>
      <c r="M64" s="113"/>
      <c r="N64" s="113"/>
      <c r="O64" s="113"/>
      <c r="P64" s="113"/>
      <c r="Q64" s="113"/>
      <c r="R64" s="113"/>
      <c r="S64" s="23"/>
      <c r="T64" s="23"/>
      <c r="U64" s="23"/>
    </row>
    <row r="65" spans="1:21">
      <c r="A65" s="23"/>
      <c r="B65" s="1"/>
      <c r="C65" s="1"/>
      <c r="D65" s="1"/>
      <c r="E65" s="1"/>
      <c r="F65" s="1"/>
      <c r="G65" s="1"/>
      <c r="H65" s="1"/>
      <c r="I65" s="23"/>
      <c r="J65" s="23"/>
      <c r="K65" s="23"/>
      <c r="L65" s="1"/>
      <c r="M65" s="1"/>
      <c r="N65" s="1"/>
      <c r="O65" s="1"/>
      <c r="P65" s="1"/>
      <c r="Q65" s="1"/>
      <c r="R65" s="1"/>
      <c r="S65" s="23"/>
      <c r="T65" s="23"/>
      <c r="U65" s="23"/>
    </row>
    <row r="66" spans="1:21">
      <c r="A66" s="23"/>
      <c r="B66" s="1"/>
      <c r="C66" s="1"/>
      <c r="D66" s="1"/>
      <c r="E66" s="1"/>
      <c r="F66" s="1"/>
      <c r="G66" s="1"/>
      <c r="H66" s="1"/>
      <c r="I66" s="23"/>
      <c r="J66" s="23"/>
      <c r="K66" s="23"/>
      <c r="L66" s="1"/>
      <c r="M66" s="1"/>
      <c r="N66" s="1"/>
      <c r="O66" s="1"/>
      <c r="P66" s="1"/>
      <c r="Q66" s="1"/>
      <c r="R66" s="1"/>
      <c r="S66" s="23"/>
      <c r="T66" s="23"/>
      <c r="U66" s="23"/>
    </row>
    <row r="67" spans="1:21">
      <c r="A67" s="23"/>
      <c r="B67" s="1"/>
      <c r="C67" s="1"/>
      <c r="D67" s="1"/>
      <c r="E67" s="1"/>
      <c r="F67" s="1"/>
      <c r="G67" s="1"/>
      <c r="H67" s="1"/>
      <c r="I67" s="23"/>
      <c r="J67" s="23"/>
      <c r="K67" s="23"/>
      <c r="L67" s="1"/>
      <c r="M67" s="1"/>
      <c r="N67" s="1"/>
      <c r="O67" s="1"/>
      <c r="P67" s="1"/>
      <c r="Q67" s="1"/>
      <c r="R67" s="1"/>
      <c r="S67" s="23"/>
      <c r="T67" s="23"/>
      <c r="U67" s="23"/>
    </row>
    <row r="68" spans="1:21">
      <c r="A68" s="23"/>
      <c r="B68" s="23"/>
      <c r="C68" s="23"/>
      <c r="D68" s="1"/>
      <c r="E68" s="1"/>
      <c r="F68" s="1"/>
      <c r="G68" s="1"/>
      <c r="H68" s="1"/>
      <c r="I68" s="23"/>
      <c r="J68" s="23"/>
      <c r="K68" s="23"/>
      <c r="L68" s="23"/>
      <c r="M68" s="23"/>
      <c r="N68" s="1"/>
      <c r="O68" s="1"/>
      <c r="P68" s="1"/>
      <c r="Q68" s="1"/>
      <c r="R68" s="1"/>
      <c r="S68" s="23"/>
      <c r="T68" s="23"/>
      <c r="U68" s="23"/>
    </row>
    <row r="69" spans="1:21">
      <c r="A69" s="23"/>
      <c r="B69" s="23"/>
      <c r="C69" s="23"/>
      <c r="D69" s="1"/>
      <c r="E69" s="1"/>
      <c r="F69" s="1"/>
      <c r="G69" s="1"/>
      <c r="H69" s="1"/>
      <c r="I69" s="23"/>
      <c r="J69" s="23"/>
      <c r="K69" s="23"/>
      <c r="L69" s="23"/>
      <c r="M69" s="23"/>
      <c r="N69" s="1"/>
      <c r="O69" s="1"/>
      <c r="P69" s="1"/>
      <c r="Q69" s="1"/>
      <c r="R69" s="1"/>
      <c r="S69" s="23"/>
      <c r="T69" s="23"/>
      <c r="U69" s="23"/>
    </row>
    <row r="70" spans="1:21">
      <c r="A70" s="1"/>
      <c r="B70" s="114"/>
      <c r="C70" s="114"/>
      <c r="D70" s="114"/>
      <c r="E70" s="114"/>
      <c r="F70" s="114"/>
      <c r="G70" s="114"/>
      <c r="H70" s="114"/>
      <c r="I70" s="23"/>
      <c r="J70" s="23"/>
      <c r="K70" s="1"/>
      <c r="L70" s="114"/>
      <c r="M70" s="114"/>
      <c r="N70" s="114"/>
      <c r="O70" s="114"/>
      <c r="P70" s="114"/>
      <c r="Q70" s="114"/>
      <c r="R70" s="114"/>
      <c r="S70" s="23"/>
      <c r="T70" s="23"/>
      <c r="U70" s="23"/>
    </row>
    <row r="71" spans="1:21">
      <c r="A71" s="1"/>
      <c r="B71" s="114"/>
      <c r="C71" s="114"/>
      <c r="D71" s="114"/>
      <c r="E71" s="114"/>
      <c r="F71" s="114"/>
      <c r="G71" s="114"/>
      <c r="H71" s="114"/>
      <c r="I71" s="23"/>
      <c r="J71" s="23"/>
      <c r="K71" s="1"/>
      <c r="L71" s="114"/>
      <c r="M71" s="114"/>
      <c r="N71" s="114"/>
      <c r="O71" s="114"/>
      <c r="P71" s="114"/>
      <c r="Q71" s="114"/>
      <c r="R71" s="114"/>
      <c r="S71" s="23"/>
      <c r="T71" s="23"/>
      <c r="U71" s="23"/>
    </row>
    <row r="72" spans="1:21">
      <c r="A72" s="1"/>
      <c r="B72" s="114"/>
      <c r="C72" s="114"/>
      <c r="D72" s="114"/>
      <c r="E72" s="114"/>
      <c r="F72" s="114"/>
      <c r="G72" s="114"/>
      <c r="H72" s="114"/>
      <c r="I72" s="23"/>
      <c r="J72" s="23"/>
      <c r="K72" s="1"/>
      <c r="L72" s="114"/>
      <c r="M72" s="114"/>
      <c r="N72" s="114"/>
      <c r="O72" s="114"/>
      <c r="P72" s="114"/>
      <c r="Q72" s="114"/>
      <c r="R72" s="114"/>
      <c r="S72" s="23"/>
      <c r="T72" s="23"/>
      <c r="U72" s="23"/>
    </row>
    <row r="73" spans="1:21">
      <c r="A73" s="23"/>
      <c r="B73" s="23"/>
      <c r="C73" s="23"/>
      <c r="D73" s="23"/>
      <c r="E73" s="23"/>
      <c r="F73" s="23"/>
      <c r="G73" s="23"/>
      <c r="H73" s="23"/>
      <c r="I73" s="23"/>
      <c r="J73" s="23"/>
      <c r="K73" s="23"/>
      <c r="L73" s="23"/>
      <c r="M73" s="23"/>
      <c r="N73" s="23"/>
      <c r="O73" s="23"/>
      <c r="P73" s="23"/>
      <c r="Q73" s="23"/>
      <c r="R73" s="23"/>
      <c r="S73" s="23"/>
      <c r="T73" s="23"/>
      <c r="U73" s="23"/>
    </row>
    <row r="74" spans="1:21">
      <c r="A74" s="23"/>
      <c r="B74" s="23"/>
      <c r="C74" s="23"/>
      <c r="D74" s="23"/>
      <c r="E74" s="23"/>
      <c r="F74" s="23"/>
      <c r="G74" s="23"/>
      <c r="H74" s="23"/>
      <c r="I74" s="23"/>
      <c r="J74" s="23"/>
      <c r="K74" s="23"/>
      <c r="L74" s="23"/>
      <c r="M74" s="23"/>
      <c r="N74" s="23"/>
      <c r="O74" s="23"/>
      <c r="P74" s="23"/>
      <c r="Q74" s="23"/>
      <c r="R74" s="23"/>
      <c r="S74" s="23"/>
      <c r="T74" s="23"/>
      <c r="U74" s="23"/>
    </row>
    <row r="75" spans="1:21">
      <c r="A75" s="23"/>
      <c r="B75" s="23"/>
      <c r="C75" s="23"/>
      <c r="D75" s="23"/>
      <c r="E75" s="23"/>
      <c r="F75" s="23"/>
      <c r="G75" s="23"/>
      <c r="H75" s="23"/>
      <c r="I75" s="23"/>
      <c r="J75" s="23"/>
      <c r="K75" s="23"/>
      <c r="L75" s="23"/>
      <c r="M75" s="23"/>
      <c r="N75" s="23"/>
      <c r="O75" s="1"/>
      <c r="P75" s="1"/>
      <c r="Q75" s="1"/>
      <c r="R75" s="1"/>
      <c r="S75" s="23"/>
      <c r="T75" s="23"/>
      <c r="U75" s="23"/>
    </row>
    <row r="76" spans="1:21">
      <c r="A76" s="23"/>
      <c r="B76" s="23"/>
      <c r="C76" s="23"/>
      <c r="D76" s="23"/>
      <c r="E76" s="23"/>
      <c r="F76" s="23"/>
      <c r="G76" s="23"/>
      <c r="H76" s="23"/>
      <c r="I76" s="23"/>
      <c r="J76" s="23"/>
      <c r="K76" s="23"/>
      <c r="L76" s="23"/>
      <c r="M76" s="23"/>
      <c r="N76" s="23"/>
      <c r="O76" s="1"/>
      <c r="P76" s="1"/>
      <c r="Q76" s="1"/>
      <c r="R76" s="1"/>
      <c r="S76" s="23"/>
      <c r="T76" s="23"/>
      <c r="U76" s="23"/>
    </row>
    <row r="77" spans="1:21">
      <c r="A77" s="23"/>
      <c r="B77" s="23"/>
      <c r="C77" s="23"/>
      <c r="D77" s="23"/>
      <c r="E77" s="23"/>
      <c r="F77" s="23"/>
      <c r="G77" s="23"/>
      <c r="H77" s="23"/>
      <c r="I77" s="23"/>
      <c r="J77" s="23"/>
      <c r="K77" s="23"/>
      <c r="L77" s="23"/>
      <c r="M77" s="23"/>
      <c r="N77" s="23"/>
      <c r="O77" s="1"/>
      <c r="P77" s="1"/>
      <c r="Q77" s="1"/>
      <c r="R77" s="1"/>
      <c r="S77" s="23"/>
      <c r="T77" s="23"/>
      <c r="U77" s="23"/>
    </row>
  </sheetData>
  <mergeCells count="14">
    <mergeCell ref="L14:N14"/>
    <mergeCell ref="L15:N15"/>
    <mergeCell ref="L16:N16"/>
    <mergeCell ref="L8:N8"/>
    <mergeCell ref="L9:N9"/>
    <mergeCell ref="L10:N10"/>
    <mergeCell ref="L11:N11"/>
    <mergeCell ref="L12:N12"/>
    <mergeCell ref="L13:N13"/>
    <mergeCell ref="L3:N3"/>
    <mergeCell ref="L4:N4"/>
    <mergeCell ref="L5:N5"/>
    <mergeCell ref="L6:N6"/>
    <mergeCell ref="L7:N7"/>
  </mergeCells>
  <phoneticPr fontId="2"/>
  <dataValidations count="1">
    <dataValidation type="list" allowBlank="1" showInputMessage="1" showErrorMessage="1" sqref="K5:K8" xr:uid="{A73EDD07-994C-4FBD-924F-C8D48D5B70BA}">
      <formula1>"あり,なし"</formula1>
    </dataValidation>
  </dataValidations>
  <hyperlinks>
    <hyperlink ref="F4" r:id="rId1" xr:uid="{D2526DEA-2636-4BAF-8FD7-79F7DAC4A3E1}"/>
    <hyperlink ref="F5" r:id="rId2" xr:uid="{7B279621-D3E9-4A5A-9256-CF15357DEB25}"/>
    <hyperlink ref="Y57" r:id="rId3" xr:uid="{C07EB5DF-9AD6-4AE2-A48E-64B97AB589D6}"/>
  </hyperlinks>
  <pageMargins left="0.7" right="0.7" top="0.75" bottom="0.75" header="0.3" footer="0.3"/>
  <legacy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F6F385-BAEF-469B-B448-371C52D190E5}">
  <sheetPr codeName="Sheet8">
    <tabColor theme="6" tint="0.79998168889431442"/>
  </sheetPr>
  <dimension ref="B2"/>
  <sheetViews>
    <sheetView workbookViewId="0">
      <selection activeCell="C4" sqref="C4"/>
    </sheetView>
  </sheetViews>
  <sheetFormatPr defaultRowHeight="18.75"/>
  <sheetData>
    <row r="2" spans="2:2">
      <c r="B2" t="s">
        <v>150</v>
      </c>
    </row>
  </sheetData>
  <phoneticPr fontId="2"/>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10F9B-814F-4014-86C8-2DB74A36F92E}">
  <sheetPr codeName="Sheet23">
    <tabColor theme="6" tint="0.79998168889431442"/>
  </sheetPr>
  <dimension ref="B3:AI21"/>
  <sheetViews>
    <sheetView topLeftCell="Q28" zoomScale="125" zoomScaleNormal="55" workbookViewId="0">
      <selection activeCell="T9" sqref="T9"/>
    </sheetView>
  </sheetViews>
  <sheetFormatPr defaultRowHeight="18.75"/>
  <cols>
    <col min="3" max="3" width="10.125" bestFit="1" customWidth="1"/>
    <col min="4" max="4" width="11" customWidth="1"/>
    <col min="5" max="5" width="9.125" bestFit="1" customWidth="1"/>
    <col min="18" max="18" width="9.125" bestFit="1" customWidth="1"/>
    <col min="20" max="22" width="9.125" bestFit="1" customWidth="1"/>
    <col min="23" max="30" width="14.25" bestFit="1" customWidth="1"/>
    <col min="31" max="34" width="9.125" bestFit="1" customWidth="1"/>
    <col min="35" max="35" width="13.375" bestFit="1" customWidth="1"/>
  </cols>
  <sheetData>
    <row r="3" spans="2:35">
      <c r="B3" s="147" t="s">
        <v>579</v>
      </c>
      <c r="C3" s="143" t="s">
        <v>1088</v>
      </c>
      <c r="D3" s="143"/>
    </row>
    <row r="4" spans="2:35">
      <c r="G4" t="s">
        <v>581</v>
      </c>
      <c r="S4" s="49" t="s">
        <v>1009</v>
      </c>
      <c r="T4" s="147" t="s">
        <v>1010</v>
      </c>
      <c r="U4" s="147" t="s">
        <v>1011</v>
      </c>
      <c r="V4" s="147" t="s">
        <v>1012</v>
      </c>
      <c r="W4" s="147" t="s">
        <v>1013</v>
      </c>
      <c r="X4" s="147" t="s">
        <v>1014</v>
      </c>
      <c r="Y4" s="147" t="s">
        <v>1015</v>
      </c>
      <c r="Z4" s="147" t="s">
        <v>1016</v>
      </c>
      <c r="AA4" s="147" t="s">
        <v>1017</v>
      </c>
      <c r="AB4" s="147" t="s">
        <v>1018</v>
      </c>
      <c r="AC4" s="147" t="s">
        <v>1019</v>
      </c>
      <c r="AD4" s="147" t="s">
        <v>1020</v>
      </c>
      <c r="AE4" s="147" t="s">
        <v>1021</v>
      </c>
      <c r="AF4" s="147" t="s">
        <v>1022</v>
      </c>
      <c r="AG4" s="147" t="s">
        <v>1023</v>
      </c>
      <c r="AH4" s="147" t="s">
        <v>1024</v>
      </c>
      <c r="AI4" s="147" t="s">
        <v>1025</v>
      </c>
    </row>
    <row r="5" spans="2:35" ht="19.5">
      <c r="B5" s="151" t="s">
        <v>561</v>
      </c>
      <c r="C5" s="151" t="s">
        <v>562</v>
      </c>
      <c r="D5" s="151" t="s">
        <v>563</v>
      </c>
      <c r="E5" s="151" t="s">
        <v>564</v>
      </c>
      <c r="S5" s="147" t="s">
        <v>566</v>
      </c>
      <c r="T5" s="49">
        <v>-1.1356011314710146E-3</v>
      </c>
      <c r="U5" s="49">
        <v>0.1339781322758041</v>
      </c>
      <c r="V5" s="49">
        <v>2.2844892940837759E-4</v>
      </c>
      <c r="W5" s="49">
        <v>-1.2209386609023487E-3</v>
      </c>
      <c r="X5" s="49">
        <v>-6.1143732524629325E-6</v>
      </c>
      <c r="Y5" s="49">
        <v>2.2246070472179999E-5</v>
      </c>
      <c r="Z5" s="49">
        <v>-8.2413009820956076E-8</v>
      </c>
      <c r="AA5" s="49">
        <v>-1.8981090497257461E-7</v>
      </c>
      <c r="AB5" s="49">
        <v>3.1250335879497286E-9</v>
      </c>
      <c r="AC5" s="49">
        <v>5.8386388243114193E-10</v>
      </c>
      <c r="AD5" s="49">
        <v>-1.8861906186630989E-11</v>
      </c>
      <c r="AE5" s="49"/>
      <c r="AF5" s="49"/>
      <c r="AG5" s="49"/>
      <c r="AH5" s="49"/>
      <c r="AI5" s="49"/>
    </row>
    <row r="6" spans="2:35" ht="19.5">
      <c r="B6" s="149" t="s">
        <v>565</v>
      </c>
      <c r="C6" s="150">
        <v>-10</v>
      </c>
      <c r="D6" s="150">
        <v>20</v>
      </c>
      <c r="E6" s="150">
        <v>0.25</v>
      </c>
      <c r="S6" s="147" t="s">
        <v>597</v>
      </c>
      <c r="T6" s="49">
        <v>-6.0956742422596147E-2</v>
      </c>
      <c r="U6" s="49">
        <v>1.4911339591367708E-3</v>
      </c>
      <c r="V6" s="49">
        <v>2.2813682416732914E-3</v>
      </c>
      <c r="W6" s="49">
        <v>1.4839184913435856E-5</v>
      </c>
      <c r="X6" s="49">
        <v>-4.619693197890876E-6</v>
      </c>
      <c r="Y6" s="49">
        <v>-3.7723480478238878E-7</v>
      </c>
      <c r="Z6" s="49">
        <v>5.8501878107472848E-8</v>
      </c>
      <c r="AA6" s="49">
        <v>3.098043628126524E-9</v>
      </c>
      <c r="AB6" s="49">
        <v>-2.5142739276776265E-10</v>
      </c>
      <c r="AC6" s="49">
        <v>-6.4312519934656662E-12</v>
      </c>
      <c r="AD6" s="49">
        <v>3.8596192194858106E-13</v>
      </c>
      <c r="AE6" s="49">
        <v>6.0323234998349635E-2</v>
      </c>
      <c r="AF6" s="49">
        <v>-1.4912157635059233E-2</v>
      </c>
      <c r="AG6" s="49">
        <v>1.1161620845841439E-3</v>
      </c>
      <c r="AH6" s="49">
        <v>-2.8436151362368336E-4</v>
      </c>
      <c r="AI6" s="49">
        <v>-3.4476166733705938E-4</v>
      </c>
    </row>
    <row r="7" spans="2:35" ht="19.5">
      <c r="B7" s="149" t="s">
        <v>512</v>
      </c>
      <c r="C7" s="148">
        <v>300000</v>
      </c>
      <c r="D7" s="148">
        <v>800000</v>
      </c>
      <c r="E7" s="148">
        <v>20000</v>
      </c>
      <c r="S7" s="147" t="s">
        <v>567</v>
      </c>
      <c r="T7" s="49">
        <v>0.50421198628813013</v>
      </c>
      <c r="U7" s="49">
        <v>4.450479470860063E-3</v>
      </c>
      <c r="V7" s="49">
        <v>-3.6627238191916823E-4</v>
      </c>
      <c r="W7" s="49">
        <v>1.0135800402576426E-4</v>
      </c>
      <c r="X7" s="49">
        <v>-3.1846402006635467E-6</v>
      </c>
      <c r="Y7" s="49">
        <v>-8.8110713974012784E-7</v>
      </c>
      <c r="Z7" s="49">
        <v>6.5222856122900148E-8</v>
      </c>
      <c r="AA7" s="49">
        <v>1.5567836088539008E-9</v>
      </c>
      <c r="AB7" s="49">
        <v>-3.5746863340426942E-10</v>
      </c>
      <c r="AC7" s="49">
        <v>1.1677631156724804E-11</v>
      </c>
      <c r="AD7" s="49">
        <v>-4.7717627883675463E-14</v>
      </c>
      <c r="AE7" s="49">
        <v>-0.23228208817462262</v>
      </c>
      <c r="AF7" s="49">
        <v>3.5421466035593596E-2</v>
      </c>
      <c r="AG7" s="49">
        <v>-1.7865158240265968E-3</v>
      </c>
      <c r="AH7" s="49">
        <v>-1.2615106580606068E-3</v>
      </c>
      <c r="AI7" s="49">
        <v>6.9243520929247818E-5</v>
      </c>
    </row>
    <row r="8" spans="2:35">
      <c r="S8" s="2" t="s">
        <v>1092</v>
      </c>
      <c r="T8">
        <f>U5</f>
        <v>0.1339781322758041</v>
      </c>
      <c r="U8">
        <f>V5*2</f>
        <v>4.5689785881675518E-4</v>
      </c>
      <c r="V8">
        <f>W5*3</f>
        <v>-3.6628159827070458E-3</v>
      </c>
      <c r="W8">
        <f>X5*4</f>
        <v>-2.445749300985173E-5</v>
      </c>
      <c r="X8">
        <f>Y5*5</f>
        <v>1.112303523609E-4</v>
      </c>
      <c r="Y8">
        <f>Z5*6</f>
        <v>-4.944780589257364E-7</v>
      </c>
      <c r="Z8">
        <f>AA5*7</f>
        <v>-1.3286763348080222E-6</v>
      </c>
      <c r="AA8">
        <f>AB5*8</f>
        <v>2.5000268703597829E-8</v>
      </c>
      <c r="AB8">
        <f>AC5*9</f>
        <v>5.2547749418802776E-9</v>
      </c>
      <c r="AC8">
        <f>AD5*10</f>
        <v>-1.8861906186630989E-10</v>
      </c>
    </row>
    <row r="9" spans="2:35">
      <c r="B9" s="147" t="s">
        <v>580</v>
      </c>
      <c r="C9" s="49">
        <v>9</v>
      </c>
      <c r="S9" s="2" t="s">
        <v>1093</v>
      </c>
      <c r="T9">
        <f>U6+AH6</f>
        <v>1.2067724455130874E-3</v>
      </c>
      <c r="U9">
        <f>V6*2+AI6*2</f>
        <v>3.873213148672464E-3</v>
      </c>
      <c r="V9">
        <f>W6*3</f>
        <v>4.4517554740307571E-5</v>
      </c>
      <c r="W9">
        <f>X6*4</f>
        <v>-1.8478772791563504E-5</v>
      </c>
      <c r="X9">
        <f>Y6*5</f>
        <v>-1.8861740239119438E-6</v>
      </c>
      <c r="Y9">
        <f>Z6*6</f>
        <v>3.5101126864483709E-7</v>
      </c>
      <c r="Z9">
        <f>AA6*7</f>
        <v>2.1686305396885669E-8</v>
      </c>
      <c r="AA9">
        <f>AB6*8</f>
        <v>-2.0114191421421012E-9</v>
      </c>
      <c r="AB9">
        <f>AC6*9</f>
        <v>-5.7881267941190993E-11</v>
      </c>
      <c r="AC9">
        <f>AD6*10</f>
        <v>3.8596192194858105E-12</v>
      </c>
    </row>
    <row r="10" spans="2:35">
      <c r="S10" s="2" t="s">
        <v>1094</v>
      </c>
      <c r="T10">
        <f>U7+AH7</f>
        <v>3.1889688127994561E-3</v>
      </c>
      <c r="U10">
        <f>V7*2+AI7*2</f>
        <v>-5.9405772197984076E-4</v>
      </c>
      <c r="V10">
        <f>W7*3</f>
        <v>3.0407401207729277E-4</v>
      </c>
      <c r="W10">
        <f>X7*4</f>
        <v>-1.2738560802654187E-5</v>
      </c>
      <c r="X10">
        <f>Y7*5</f>
        <v>-4.4055356987006395E-6</v>
      </c>
      <c r="Y10">
        <f>Z7*6</f>
        <v>3.9133713673740089E-7</v>
      </c>
      <c r="Z10">
        <f>AA7*7</f>
        <v>1.0897485261977306E-8</v>
      </c>
      <c r="AA10">
        <f>AB7*8</f>
        <v>-2.8597490672341553E-9</v>
      </c>
      <c r="AB10">
        <f>AC7*9</f>
        <v>1.0509868041052323E-10</v>
      </c>
      <c r="AC10">
        <f>AD7*10</f>
        <v>-4.7717627883675465E-13</v>
      </c>
    </row>
    <row r="11" spans="2:35">
      <c r="B11" s="147" t="s">
        <v>598</v>
      </c>
      <c r="C11" s="147"/>
      <c r="D11" s="49">
        <v>600000</v>
      </c>
    </row>
    <row r="13" spans="2:35">
      <c r="P13" s="2" t="s">
        <v>260</v>
      </c>
      <c r="Q13" s="2" t="s">
        <v>261</v>
      </c>
      <c r="R13" s="2" t="s">
        <v>262</v>
      </c>
      <c r="S13" s="2" t="s">
        <v>263</v>
      </c>
    </row>
    <row r="14" spans="2:35">
      <c r="P14" s="6" t="s">
        <v>569</v>
      </c>
      <c r="Q14" s="6" t="s">
        <v>570</v>
      </c>
      <c r="R14" s="6">
        <v>2.0243264900448126</v>
      </c>
      <c r="S14" s="6" t="s">
        <v>145</v>
      </c>
    </row>
    <row r="15" spans="2:35">
      <c r="P15" s="6"/>
      <c r="Q15" s="6" t="s">
        <v>571</v>
      </c>
      <c r="R15" s="6">
        <v>0.97122145216694533</v>
      </c>
      <c r="S15" s="6" t="s">
        <v>145</v>
      </c>
    </row>
    <row r="16" spans="2:35">
      <c r="P16" s="6"/>
      <c r="Q16" s="6" t="s">
        <v>572</v>
      </c>
      <c r="R16" s="6">
        <v>1.0531050378778672</v>
      </c>
      <c r="S16" s="6" t="s">
        <v>145</v>
      </c>
    </row>
    <row r="17" spans="16:19">
      <c r="P17" s="6"/>
      <c r="Q17" s="6" t="s">
        <v>573</v>
      </c>
      <c r="R17" s="6">
        <v>6.2160793865989987E-2</v>
      </c>
      <c r="S17" s="6" t="s">
        <v>331</v>
      </c>
    </row>
    <row r="18" spans="16:19" ht="19.5" thickBot="1">
      <c r="P18" s="11"/>
      <c r="Q18" s="11" t="s">
        <v>574</v>
      </c>
      <c r="R18" s="11">
        <v>8.805200000000001</v>
      </c>
      <c r="S18" s="11" t="s">
        <v>495</v>
      </c>
    </row>
    <row r="19" spans="16:19" ht="19.5" thickTop="1">
      <c r="P19" s="12" t="s">
        <v>575</v>
      </c>
      <c r="Q19" s="12" t="s">
        <v>576</v>
      </c>
      <c r="R19" s="12">
        <v>0.75</v>
      </c>
      <c r="S19" s="12" t="s">
        <v>142</v>
      </c>
    </row>
    <row r="20" spans="16:19">
      <c r="P20" s="6"/>
      <c r="Q20" s="6" t="s">
        <v>577</v>
      </c>
      <c r="R20" s="12">
        <v>0.2</v>
      </c>
      <c r="S20" s="6" t="s">
        <v>142</v>
      </c>
    </row>
    <row r="21" spans="16:19">
      <c r="P21" s="6" t="s">
        <v>578</v>
      </c>
      <c r="Q21" s="6" t="s">
        <v>77</v>
      </c>
      <c r="R21" s="6">
        <f>'主翼(平面形)'!AI2</f>
        <v>0.38</v>
      </c>
      <c r="S21" s="6" t="s">
        <v>77</v>
      </c>
    </row>
  </sheetData>
  <phoneticPr fontId="2"/>
  <dataValidations count="1">
    <dataValidation type="list" allowBlank="1" showInputMessage="1" sqref="C3" xr:uid="{72B76D74-ABB0-4C2A-864D-E090B6C230E8}">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61" r:id="rId3" name="Button 1">
              <controlPr defaultSize="0" print="0" autoFill="0" autoPict="0" macro="[0]!ImportAirfoil">
                <anchor moveWithCells="1" sizeWithCells="1">
                  <from>
                    <xdr:col>4</xdr:col>
                    <xdr:colOff>676275</xdr:colOff>
                    <xdr:row>1</xdr:row>
                    <xdr:rowOff>219075</xdr:rowOff>
                  </from>
                  <to>
                    <xdr:col>7</xdr:col>
                    <xdr:colOff>95250</xdr:colOff>
                    <xdr:row>3</xdr:row>
                    <xdr:rowOff>9525</xdr:rowOff>
                  </to>
                </anchor>
              </controlPr>
            </control>
          </mc:Choice>
        </mc:AlternateContent>
        <mc:AlternateContent xmlns:mc="http://schemas.openxmlformats.org/markup-compatibility/2006">
          <mc:Choice Requires="x14">
            <control shapeId="92162" r:id="rId4" name="Button 2">
              <controlPr defaultSize="0" print="0" autoFill="0" autoPict="0" macro="[0]!翼型幾何計算">
                <anchor moveWithCells="1" sizeWithCells="1">
                  <from>
                    <xdr:col>14</xdr:col>
                    <xdr:colOff>666750</xdr:colOff>
                    <xdr:row>11</xdr:row>
                    <xdr:rowOff>19050</xdr:rowOff>
                  </from>
                  <to>
                    <xdr:col>16</xdr:col>
                    <xdr:colOff>0</xdr:colOff>
                    <xdr:row>12</xdr:row>
                    <xdr:rowOff>28575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D4DE3-F5DC-435E-B7F8-B1735643CEAC}">
  <sheetPr codeName="Sheet12">
    <tabColor theme="6" tint="0.79998168889431442"/>
  </sheetPr>
  <dimension ref="C3:F24"/>
  <sheetViews>
    <sheetView topLeftCell="B1" workbookViewId="0">
      <selection activeCell="E23" sqref="E23"/>
    </sheetView>
  </sheetViews>
  <sheetFormatPr defaultRowHeight="18.75"/>
  <sheetData>
    <row r="3" spans="3:6">
      <c r="C3" s="23" t="s">
        <v>1097</v>
      </c>
      <c r="D3" s="23"/>
      <c r="E3" s="23"/>
      <c r="F3" s="23"/>
    </row>
    <row r="4" spans="3:6" ht="19.5" thickBot="1">
      <c r="C4" s="85" t="s">
        <v>382</v>
      </c>
      <c r="D4" s="85" t="s">
        <v>310</v>
      </c>
      <c r="E4" s="85" t="s">
        <v>311</v>
      </c>
      <c r="F4" s="86" t="s">
        <v>312</v>
      </c>
    </row>
    <row r="5" spans="3:6" ht="19.5" thickTop="1">
      <c r="C5" s="6" t="s">
        <v>1098</v>
      </c>
      <c r="D5" s="6" t="s">
        <v>273</v>
      </c>
      <c r="E5" s="6">
        <f>V15*2</f>
        <v>0</v>
      </c>
      <c r="F5" s="175" t="s">
        <v>331</v>
      </c>
    </row>
    <row r="6" spans="3:6">
      <c r="C6" s="6" t="s">
        <v>1099</v>
      </c>
      <c r="D6" s="6" t="s">
        <v>266</v>
      </c>
      <c r="E6" s="6">
        <f>U15*2</f>
        <v>0</v>
      </c>
      <c r="F6" s="175" t="s">
        <v>145</v>
      </c>
    </row>
    <row r="7" spans="3:6">
      <c r="C7" s="6" t="s">
        <v>335</v>
      </c>
      <c r="D7" s="6" t="s">
        <v>336</v>
      </c>
      <c r="E7" s="6" t="e">
        <f>(E6*E6)/E5</f>
        <v>#DIV/0!</v>
      </c>
      <c r="F7" s="175" t="s">
        <v>142</v>
      </c>
    </row>
    <row r="8" spans="3:6">
      <c r="C8" s="6" t="s">
        <v>1100</v>
      </c>
      <c r="D8" s="6" t="s">
        <v>1101</v>
      </c>
      <c r="E8" s="6" t="e">
        <f>(2/E5)*Y15</f>
        <v>#DIV/0!</v>
      </c>
      <c r="F8" s="175" t="s">
        <v>145</v>
      </c>
    </row>
    <row r="9" spans="3:6" ht="19.5" thickBot="1">
      <c r="C9" s="11" t="s">
        <v>1102</v>
      </c>
      <c r="D9" s="11" t="s">
        <v>1103</v>
      </c>
      <c r="E9" s="11" t="e">
        <f>(2*Z15)/E5</f>
        <v>#DIV/0!</v>
      </c>
      <c r="F9" s="191" t="s">
        <v>145</v>
      </c>
    </row>
    <row r="10" spans="3:6" ht="19.5" thickTop="1">
      <c r="C10" s="102" t="s">
        <v>1098</v>
      </c>
      <c r="D10" s="102" t="s">
        <v>273</v>
      </c>
      <c r="E10" s="12">
        <f>AS8</f>
        <v>0</v>
      </c>
      <c r="F10" s="255" t="s">
        <v>331</v>
      </c>
    </row>
    <row r="11" spans="3:6">
      <c r="C11" s="6" t="s">
        <v>1099</v>
      </c>
      <c r="D11" s="6" t="s">
        <v>266</v>
      </c>
      <c r="E11" s="6">
        <f>AS9</f>
        <v>0</v>
      </c>
      <c r="F11" s="175" t="s">
        <v>145</v>
      </c>
    </row>
    <row r="12" spans="3:6">
      <c r="C12" s="6" t="s">
        <v>335</v>
      </c>
      <c r="D12" s="6" t="s">
        <v>336</v>
      </c>
      <c r="E12" s="6">
        <f>AS10</f>
        <v>0</v>
      </c>
      <c r="F12" s="175" t="s">
        <v>142</v>
      </c>
    </row>
    <row r="13" spans="3:6">
      <c r="C13" s="6" t="s">
        <v>1100</v>
      </c>
      <c r="D13" s="6" t="s">
        <v>339</v>
      </c>
      <c r="E13" s="6">
        <f>AS11</f>
        <v>0</v>
      </c>
      <c r="F13" s="175" t="s">
        <v>145</v>
      </c>
    </row>
    <row r="14" spans="3:6" ht="19.5" thickBot="1">
      <c r="C14" s="11" t="s">
        <v>1102</v>
      </c>
      <c r="D14" s="11" t="s">
        <v>1103</v>
      </c>
      <c r="E14" s="11">
        <f>AS12</f>
        <v>0</v>
      </c>
      <c r="F14" s="191" t="s">
        <v>145</v>
      </c>
    </row>
    <row r="15" spans="3:6" ht="19.5" thickTop="1">
      <c r="C15" s="12" t="s">
        <v>1104</v>
      </c>
      <c r="D15" s="12" t="s">
        <v>1105</v>
      </c>
      <c r="E15" s="87">
        <v>0.25</v>
      </c>
      <c r="F15" s="88" t="s">
        <v>142</v>
      </c>
    </row>
    <row r="16" spans="3:6">
      <c r="C16" s="6" t="s">
        <v>831</v>
      </c>
      <c r="D16" s="100" t="s">
        <v>379</v>
      </c>
      <c r="E16" s="6">
        <f>AS13</f>
        <v>0</v>
      </c>
      <c r="F16" s="175" t="s">
        <v>142</v>
      </c>
    </row>
    <row r="17" spans="3:6">
      <c r="C17" s="6" t="s">
        <v>1106</v>
      </c>
      <c r="D17" s="6" t="s">
        <v>1092</v>
      </c>
      <c r="E17" s="6">
        <f>AS14</f>
        <v>0</v>
      </c>
      <c r="F17" s="175" t="s">
        <v>1107</v>
      </c>
    </row>
    <row r="18" spans="3:6">
      <c r="C18" s="6" t="s">
        <v>1108</v>
      </c>
      <c r="D18" s="6" t="s">
        <v>1109</v>
      </c>
      <c r="E18" s="6">
        <f>AS15</f>
        <v>0</v>
      </c>
      <c r="F18" s="175" t="s">
        <v>1107</v>
      </c>
    </row>
    <row r="19" spans="3:6">
      <c r="C19" s="6" t="s">
        <v>1110</v>
      </c>
      <c r="D19" s="6" t="s">
        <v>367</v>
      </c>
      <c r="E19" s="6">
        <f>AS16</f>
        <v>0</v>
      </c>
      <c r="F19" s="175" t="s">
        <v>142</v>
      </c>
    </row>
    <row r="20" spans="3:6">
      <c r="C20" s="6" t="s">
        <v>1111</v>
      </c>
      <c r="D20" s="6" t="s">
        <v>1112</v>
      </c>
      <c r="E20" s="6">
        <f>AS19</f>
        <v>0</v>
      </c>
      <c r="F20" s="175" t="s">
        <v>142</v>
      </c>
    </row>
    <row r="21" spans="3:6">
      <c r="C21" s="45" t="s">
        <v>1113</v>
      </c>
      <c r="D21" s="45" t="s">
        <v>567</v>
      </c>
      <c r="E21" s="196">
        <v>7.6976981556282703E-4</v>
      </c>
      <c r="F21" s="161" t="s">
        <v>142</v>
      </c>
    </row>
    <row r="22" spans="3:6" ht="19.5" thickBot="1">
      <c r="C22" s="11" t="s">
        <v>1114</v>
      </c>
      <c r="D22" s="11" t="s">
        <v>1115</v>
      </c>
      <c r="E22" s="11"/>
      <c r="F22" s="191" t="s">
        <v>148</v>
      </c>
    </row>
    <row r="23" spans="3:6" ht="19.5" thickTop="1">
      <c r="C23" s="12" t="s">
        <v>355</v>
      </c>
      <c r="D23" s="12" t="s">
        <v>142</v>
      </c>
      <c r="E23" s="176">
        <v>0</v>
      </c>
      <c r="F23" s="88" t="s">
        <v>142</v>
      </c>
    </row>
    <row r="24" spans="3:6">
      <c r="C24" s="6" t="s">
        <v>824</v>
      </c>
      <c r="D24" s="6" t="s">
        <v>1116</v>
      </c>
      <c r="E24" s="6">
        <v>0</v>
      </c>
      <c r="F24" s="6" t="s">
        <v>148</v>
      </c>
    </row>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AC375-28AA-4098-B152-18851D4F346F}">
  <sheetPr codeName="Sheet18">
    <tabColor theme="6" tint="0.79998168889431442"/>
  </sheetPr>
  <dimension ref="B3:AI21"/>
  <sheetViews>
    <sheetView zoomScale="70" zoomScaleNormal="55" workbookViewId="0">
      <selection activeCell="M8" sqref="M8"/>
    </sheetView>
  </sheetViews>
  <sheetFormatPr defaultRowHeight="18.75"/>
  <cols>
    <col min="3" max="3" width="10.125" bestFit="1" customWidth="1"/>
    <col min="4" max="4" width="11" customWidth="1"/>
    <col min="5" max="5" width="9.125" bestFit="1" customWidth="1"/>
    <col min="18" max="18" width="9.125" bestFit="1" customWidth="1"/>
    <col min="20" max="22" width="9.125" bestFit="1" customWidth="1"/>
    <col min="23" max="30" width="14.25" bestFit="1" customWidth="1"/>
    <col min="31" max="34" width="9.125" bestFit="1" customWidth="1"/>
    <col min="35" max="35" width="13.375" bestFit="1" customWidth="1"/>
  </cols>
  <sheetData>
    <row r="3" spans="2:35">
      <c r="B3" s="147" t="s">
        <v>579</v>
      </c>
      <c r="C3" s="143" t="s">
        <v>1028</v>
      </c>
      <c r="D3" s="143"/>
    </row>
    <row r="4" spans="2:35">
      <c r="G4" t="s">
        <v>581</v>
      </c>
      <c r="S4" s="49" t="s">
        <v>1009</v>
      </c>
      <c r="T4" s="147" t="s">
        <v>1010</v>
      </c>
      <c r="U4" s="147" t="s">
        <v>1011</v>
      </c>
      <c r="V4" s="147" t="s">
        <v>1012</v>
      </c>
      <c r="W4" s="147" t="s">
        <v>1013</v>
      </c>
      <c r="X4" s="147" t="s">
        <v>1014</v>
      </c>
      <c r="Y4" s="147" t="s">
        <v>1015</v>
      </c>
      <c r="Z4" s="147" t="s">
        <v>1016</v>
      </c>
      <c r="AA4" s="147" t="s">
        <v>1017</v>
      </c>
      <c r="AB4" s="147" t="s">
        <v>1018</v>
      </c>
      <c r="AC4" s="147" t="s">
        <v>1019</v>
      </c>
      <c r="AD4" s="147" t="s">
        <v>1020</v>
      </c>
      <c r="AE4" s="147" t="s">
        <v>1021</v>
      </c>
      <c r="AF4" s="147" t="s">
        <v>1022</v>
      </c>
      <c r="AG4" s="147" t="s">
        <v>1023</v>
      </c>
      <c r="AH4" s="147" t="s">
        <v>1024</v>
      </c>
      <c r="AI4" s="147" t="s">
        <v>1025</v>
      </c>
    </row>
    <row r="5" spans="2:35" ht="19.5">
      <c r="B5" s="151" t="s">
        <v>561</v>
      </c>
      <c r="C5" s="151" t="s">
        <v>562</v>
      </c>
      <c r="D5" s="151" t="s">
        <v>563</v>
      </c>
      <c r="E5" s="151" t="s">
        <v>564</v>
      </c>
      <c r="S5" s="147" t="s">
        <v>566</v>
      </c>
      <c r="T5" s="49">
        <v>0.58555787305165952</v>
      </c>
      <c r="U5" s="49">
        <v>0.11298911044070417</v>
      </c>
      <c r="V5" s="49">
        <v>6.7184677929664916E-4</v>
      </c>
      <c r="W5" s="49">
        <v>7.1352595937579006E-5</v>
      </c>
      <c r="X5" s="49">
        <v>-3.4253837456565824E-5</v>
      </c>
      <c r="Y5" s="49">
        <v>-4.0727815124879385E-6</v>
      </c>
      <c r="Z5" s="49">
        <v>3.1008295704995209E-7</v>
      </c>
      <c r="AA5" s="49">
        <v>2.3374562021729315E-8</v>
      </c>
      <c r="AB5" s="49">
        <v>-1.4653756095986528E-9</v>
      </c>
      <c r="AC5" s="49">
        <v>-2.6886424160114602E-11</v>
      </c>
      <c r="AD5" s="49">
        <v>1.7459297343902192E-12</v>
      </c>
      <c r="AE5" s="49"/>
      <c r="AF5" s="49"/>
      <c r="AG5" s="49"/>
      <c r="AH5" s="49"/>
      <c r="AI5" s="49"/>
    </row>
    <row r="6" spans="2:35" ht="19.5">
      <c r="B6" s="149" t="s">
        <v>565</v>
      </c>
      <c r="C6" s="150">
        <v>-10</v>
      </c>
      <c r="D6" s="150">
        <v>20</v>
      </c>
      <c r="E6" s="150">
        <v>0.1</v>
      </c>
      <c r="S6" s="147" t="s">
        <v>597</v>
      </c>
      <c r="T6" s="49">
        <v>-9.7897106267391176E-2</v>
      </c>
      <c r="U6" s="49">
        <v>-5.8490224672072735E-3</v>
      </c>
      <c r="V6" s="49">
        <v>9.6556228400237825E-4</v>
      </c>
      <c r="W6" s="49">
        <v>-2.5638805709258377E-6</v>
      </c>
      <c r="X6" s="49">
        <v>-1.1634480761170202E-6</v>
      </c>
      <c r="Y6" s="49">
        <v>1.5226465531212546E-7</v>
      </c>
      <c r="Z6" s="49">
        <v>2.7159649338487528E-8</v>
      </c>
      <c r="AA6" s="49">
        <v>-2.345840728097363E-9</v>
      </c>
      <c r="AB6" s="49">
        <v>-9.3414127887416901E-11</v>
      </c>
      <c r="AC6" s="49">
        <v>1.2285723628928948E-11</v>
      </c>
      <c r="AD6" s="49">
        <v>-2.7637441133603145E-13</v>
      </c>
      <c r="AE6" s="49">
        <v>0.10590862744747484</v>
      </c>
      <c r="AF6" s="49">
        <v>-2.6173417429460104E-2</v>
      </c>
      <c r="AG6" s="49">
        <v>1.9068330221681184E-3</v>
      </c>
      <c r="AH6" s="49">
        <v>9.599353886337752E-4</v>
      </c>
      <c r="AI6" s="49">
        <v>-1.5149591208578748E-4</v>
      </c>
    </row>
    <row r="7" spans="2:35" ht="19.5">
      <c r="B7" s="149" t="s">
        <v>512</v>
      </c>
      <c r="C7" s="148">
        <v>300000</v>
      </c>
      <c r="D7" s="148">
        <v>800000</v>
      </c>
      <c r="E7" s="148">
        <v>20000</v>
      </c>
      <c r="S7" s="147" t="s">
        <v>567</v>
      </c>
      <c r="T7" s="49">
        <v>-0.42388711234752241</v>
      </c>
      <c r="U7" s="49">
        <v>8.093097810770767E-3</v>
      </c>
      <c r="V7" s="49">
        <v>-4.8476173731885121E-4</v>
      </c>
      <c r="W7" s="49">
        <v>-8.8466835005442621E-6</v>
      </c>
      <c r="X7" s="49">
        <v>9.6338115580381256E-6</v>
      </c>
      <c r="Y7" s="49">
        <v>4.4541123455313405E-7</v>
      </c>
      <c r="Z7" s="49">
        <v>-1.2412994954585833E-7</v>
      </c>
      <c r="AA7" s="49">
        <v>4.2180832142378502E-10</v>
      </c>
      <c r="AB7" s="49">
        <v>5.64708421255448E-10</v>
      </c>
      <c r="AC7" s="49">
        <v>-2.6068406243976864E-11</v>
      </c>
      <c r="AD7" s="49">
        <v>3.4383640963008599E-13</v>
      </c>
      <c r="AE7" s="49">
        <v>0.16581573720610307</v>
      </c>
      <c r="AF7" s="49">
        <v>-3.0556185931817945E-2</v>
      </c>
      <c r="AG7" s="49">
        <v>1.8582638373967914E-3</v>
      </c>
      <c r="AH7" s="49">
        <v>-1.4883655386506215E-3</v>
      </c>
      <c r="AI7" s="49">
        <v>5.9388274880353479E-5</v>
      </c>
    </row>
    <row r="8" spans="2:35">
      <c r="S8" s="147" t="s">
        <v>1095</v>
      </c>
      <c r="T8" s="49">
        <f>U5</f>
        <v>0.11298911044070417</v>
      </c>
      <c r="U8" s="49">
        <f>V5*2</f>
        <v>1.3436935585932983E-3</v>
      </c>
      <c r="V8" s="49">
        <f>W5*3</f>
        <v>2.14057787812737E-4</v>
      </c>
      <c r="W8" s="49">
        <f>X5*4</f>
        <v>-1.370153498262633E-4</v>
      </c>
      <c r="X8" s="49">
        <f>Y5*5</f>
        <v>-2.0363907562439691E-5</v>
      </c>
      <c r="Y8" s="49">
        <f>Z5*6</f>
        <v>1.8604977422997125E-6</v>
      </c>
      <c r="Z8" s="49">
        <f>AA5*7</f>
        <v>1.6362193415210521E-7</v>
      </c>
      <c r="AA8" s="49">
        <f>AB5*8</f>
        <v>-1.1723004876789223E-8</v>
      </c>
      <c r="AB8" s="49">
        <f>AC5*9</f>
        <v>-2.419778174410314E-10</v>
      </c>
      <c r="AC8" s="49">
        <f>AD5*10</f>
        <v>1.7459297343902193E-11</v>
      </c>
      <c r="AD8" s="49"/>
      <c r="AE8" s="49"/>
      <c r="AF8" s="49"/>
      <c r="AG8" s="49"/>
      <c r="AH8" s="49"/>
      <c r="AI8" s="49"/>
    </row>
    <row r="9" spans="2:35">
      <c r="B9" s="147" t="s">
        <v>580</v>
      </c>
      <c r="C9" s="49">
        <v>9</v>
      </c>
      <c r="S9" s="147" t="s">
        <v>1096</v>
      </c>
      <c r="T9" s="49">
        <f>U6</f>
        <v>-5.8490224672072735E-3</v>
      </c>
      <c r="U9" s="49">
        <f>V6*2</f>
        <v>1.9311245680047565E-3</v>
      </c>
      <c r="V9" s="49">
        <f>W6*3</f>
        <v>-7.6916417127775134E-6</v>
      </c>
      <c r="W9" s="49">
        <f>X6*4</f>
        <v>-4.6537923044680808E-6</v>
      </c>
      <c r="X9" s="49">
        <f>Y6*5</f>
        <v>7.6132327656062735E-7</v>
      </c>
      <c r="Y9" s="49">
        <f>Z6*6</f>
        <v>1.6295789603092516E-7</v>
      </c>
      <c r="Z9" s="49">
        <f>AA6*7</f>
        <v>-1.642088509668154E-8</v>
      </c>
      <c r="AA9" s="49">
        <f>AB6*8</f>
        <v>-7.4731302309933521E-10</v>
      </c>
      <c r="AB9" s="49">
        <f>AC6*9</f>
        <v>1.1057151266036053E-10</v>
      </c>
      <c r="AC9" s="49">
        <f>AD6*10</f>
        <v>-2.7637441133603143E-12</v>
      </c>
      <c r="AD9" s="49"/>
      <c r="AE9" s="49"/>
      <c r="AF9" s="49"/>
      <c r="AG9" s="49"/>
      <c r="AH9" s="49"/>
      <c r="AI9" s="49"/>
    </row>
    <row r="10" spans="2:35">
      <c r="S10" s="147" t="s">
        <v>219</v>
      </c>
      <c r="T10" s="49">
        <f>U7</f>
        <v>8.093097810770767E-3</v>
      </c>
      <c r="U10" s="49">
        <f>V7*2</f>
        <v>-9.6952347463770243E-4</v>
      </c>
      <c r="V10" s="49">
        <f>W7*3</f>
        <v>-2.6540050501632786E-5</v>
      </c>
      <c r="W10" s="49">
        <f>X7*4</f>
        <v>3.8535246232152502E-5</v>
      </c>
      <c r="X10" s="49">
        <f>Y7*5</f>
        <v>2.2270561727656704E-6</v>
      </c>
      <c r="Y10" s="49">
        <f>Z7*6</f>
        <v>-7.4477969727514996E-7</v>
      </c>
      <c r="Z10" s="49">
        <f>AA7*7</f>
        <v>2.9526582499664953E-9</v>
      </c>
      <c r="AA10" s="49">
        <f>AB7*8</f>
        <v>4.517667370043584E-9</v>
      </c>
      <c r="AB10" s="49">
        <f>AC7*9</f>
        <v>-2.3461565619579178E-10</v>
      </c>
      <c r="AC10" s="49">
        <f>AD7*10</f>
        <v>3.4383640963008599E-12</v>
      </c>
      <c r="AD10" s="49"/>
      <c r="AE10" s="49"/>
      <c r="AF10" s="49"/>
      <c r="AG10" s="49"/>
      <c r="AH10" s="49"/>
      <c r="AI10" s="49"/>
    </row>
    <row r="11" spans="2:35">
      <c r="B11" s="147" t="s">
        <v>598</v>
      </c>
      <c r="C11" s="147"/>
      <c r="D11" s="49">
        <v>600000</v>
      </c>
    </row>
    <row r="13" spans="2:35">
      <c r="P13" s="2" t="s">
        <v>260</v>
      </c>
      <c r="Q13" s="2" t="s">
        <v>261</v>
      </c>
      <c r="R13" s="2" t="s">
        <v>262</v>
      </c>
      <c r="S13" s="2" t="s">
        <v>263</v>
      </c>
    </row>
    <row r="14" spans="2:35">
      <c r="P14" s="6" t="s">
        <v>569</v>
      </c>
      <c r="Q14" s="6" t="s">
        <v>570</v>
      </c>
      <c r="R14" s="6">
        <v>2.0621022799361244</v>
      </c>
      <c r="S14" s="6" t="s">
        <v>145</v>
      </c>
    </row>
    <row r="15" spans="2:35">
      <c r="P15" s="6"/>
      <c r="Q15" s="6" t="s">
        <v>571</v>
      </c>
      <c r="R15" s="6">
        <v>1.0086082435278714</v>
      </c>
      <c r="S15" s="6" t="s">
        <v>145</v>
      </c>
    </row>
    <row r="16" spans="2:35">
      <c r="P16" s="6"/>
      <c r="Q16" s="6" t="s">
        <v>572</v>
      </c>
      <c r="R16" s="6">
        <v>1.053494036408253</v>
      </c>
      <c r="S16" s="6" t="s">
        <v>145</v>
      </c>
    </row>
    <row r="17" spans="16:19">
      <c r="P17" s="6"/>
      <c r="Q17" s="6" t="s">
        <v>573</v>
      </c>
      <c r="R17" s="6">
        <v>9.8612125031690048E-2</v>
      </c>
      <c r="S17" s="6" t="s">
        <v>331</v>
      </c>
    </row>
    <row r="18" spans="16:19" ht="19.5" thickBot="1">
      <c r="P18" s="11"/>
      <c r="Q18" s="11" t="s">
        <v>574</v>
      </c>
      <c r="R18" s="11">
        <v>14.554290163136031</v>
      </c>
      <c r="S18" s="11" t="s">
        <v>495</v>
      </c>
    </row>
    <row r="19" spans="16:19" ht="19.5" thickTop="1">
      <c r="P19" s="12" t="s">
        <v>575</v>
      </c>
      <c r="Q19" s="12" t="s">
        <v>576</v>
      </c>
      <c r="R19" s="12">
        <v>0.75</v>
      </c>
      <c r="S19" s="12" t="s">
        <v>142</v>
      </c>
    </row>
    <row r="20" spans="16:19">
      <c r="P20" s="6"/>
      <c r="Q20" s="6" t="s">
        <v>577</v>
      </c>
      <c r="R20" s="12">
        <v>0.2</v>
      </c>
      <c r="S20" s="6" t="s">
        <v>142</v>
      </c>
    </row>
    <row r="21" spans="16:19">
      <c r="P21" s="6" t="s">
        <v>578</v>
      </c>
      <c r="Q21" s="6" t="s">
        <v>77</v>
      </c>
      <c r="R21" s="6">
        <f>'主翼(平面形)'!AI2</f>
        <v>0.38</v>
      </c>
      <c r="S21" s="6" t="s">
        <v>77</v>
      </c>
    </row>
  </sheetData>
  <phoneticPr fontId="2"/>
  <dataValidations count="1">
    <dataValidation type="list" allowBlank="1" showInputMessage="1" sqref="C3" xr:uid="{2FB0BAE1-3B06-4D39-A8F3-CB3259D2EC0E}">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6801" r:id="rId3" name="Button 1">
              <controlPr defaultSize="0" print="0" autoFill="0" autoPict="0" macro="[0]!ImportAirfoil">
                <anchor moveWithCells="1" sizeWithCells="1">
                  <from>
                    <xdr:col>4</xdr:col>
                    <xdr:colOff>676275</xdr:colOff>
                    <xdr:row>1</xdr:row>
                    <xdr:rowOff>219075</xdr:rowOff>
                  </from>
                  <to>
                    <xdr:col>7</xdr:col>
                    <xdr:colOff>95250</xdr:colOff>
                    <xdr:row>3</xdr:row>
                    <xdr:rowOff>9525</xdr:rowOff>
                  </to>
                </anchor>
              </controlPr>
            </control>
          </mc:Choice>
        </mc:AlternateContent>
        <mc:AlternateContent xmlns:mc="http://schemas.openxmlformats.org/markup-compatibility/2006">
          <mc:Choice Requires="x14">
            <control shapeId="76802" r:id="rId4" name="Button 2">
              <controlPr defaultSize="0" print="0" autoFill="0" autoPict="0" macro="[0]!翼型幾何計算">
                <anchor moveWithCells="1" sizeWithCells="1">
                  <from>
                    <xdr:col>14</xdr:col>
                    <xdr:colOff>666750</xdr:colOff>
                    <xdr:row>11</xdr:row>
                    <xdr:rowOff>19050</xdr:rowOff>
                  </from>
                  <to>
                    <xdr:col>16</xdr:col>
                    <xdr:colOff>0</xdr:colOff>
                    <xdr:row>12</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482E-8ECC-43DB-A1A5-063458973526}">
  <sheetPr codeName="Sheet13">
    <tabColor theme="6" tint="0.79998168889431442"/>
  </sheetPr>
  <dimension ref="B3:K16"/>
  <sheetViews>
    <sheetView zoomScale="89" workbookViewId="0">
      <selection activeCell="D10" sqref="D10"/>
    </sheetView>
  </sheetViews>
  <sheetFormatPr defaultRowHeight="18.75"/>
  <cols>
    <col min="8" max="8" width="11.875" customWidth="1"/>
  </cols>
  <sheetData>
    <row r="3" spans="2:11">
      <c r="B3" s="261" t="s">
        <v>161</v>
      </c>
      <c r="C3" s="23"/>
      <c r="D3" s="23"/>
      <c r="E3" s="23"/>
      <c r="H3" s="262" t="s">
        <v>1125</v>
      </c>
    </row>
    <row r="4" spans="2:11">
      <c r="B4" s="23"/>
      <c r="C4" s="23"/>
      <c r="D4" s="23"/>
      <c r="E4" s="23"/>
    </row>
    <row r="5" spans="2:11">
      <c r="B5" s="2" t="s">
        <v>382</v>
      </c>
      <c r="C5" s="2" t="s">
        <v>310</v>
      </c>
      <c r="D5" s="2" t="s">
        <v>311</v>
      </c>
      <c r="E5" s="2" t="s">
        <v>312</v>
      </c>
      <c r="H5" s="263" t="s">
        <v>1126</v>
      </c>
      <c r="I5" s="146"/>
      <c r="K5" t="s">
        <v>1129</v>
      </c>
    </row>
    <row r="6" spans="2:11">
      <c r="B6" s="6" t="s">
        <v>1117</v>
      </c>
      <c r="C6" s="6" t="s">
        <v>360</v>
      </c>
      <c r="D6" s="93">
        <v>3.8</v>
      </c>
      <c r="E6" s="6" t="s">
        <v>145</v>
      </c>
      <c r="H6" s="207" t="s">
        <v>1127</v>
      </c>
      <c r="I6" s="146"/>
      <c r="K6" t="s">
        <v>1099</v>
      </c>
    </row>
    <row r="7" spans="2:11">
      <c r="B7" s="6" t="s">
        <v>1118</v>
      </c>
      <c r="C7" s="6" t="s">
        <v>1119</v>
      </c>
      <c r="D7" s="6" t="s">
        <v>142</v>
      </c>
      <c r="E7" s="6" t="s">
        <v>145</v>
      </c>
      <c r="H7" s="263" t="s">
        <v>1128</v>
      </c>
      <c r="I7" s="146">
        <v>1.4</v>
      </c>
      <c r="K7" t="s">
        <v>335</v>
      </c>
    </row>
    <row r="8" spans="2:11">
      <c r="B8" s="6" t="s">
        <v>1120</v>
      </c>
      <c r="C8" s="6" t="s">
        <v>1121</v>
      </c>
      <c r="D8" s="93">
        <v>3.8</v>
      </c>
      <c r="E8" s="6" t="s">
        <v>145</v>
      </c>
      <c r="H8" s="207" t="s">
        <v>824</v>
      </c>
      <c r="I8" s="146"/>
    </row>
    <row r="9" spans="2:11">
      <c r="B9" s="6" t="s">
        <v>1122</v>
      </c>
      <c r="C9" s="6" t="s">
        <v>1123</v>
      </c>
      <c r="D9" s="6" t="e">
        <f>I36-#REF!</f>
        <v>#REF!</v>
      </c>
      <c r="E9" s="6" t="s">
        <v>145</v>
      </c>
    </row>
    <row r="10" spans="2:11">
      <c r="B10" s="6" t="s">
        <v>1124</v>
      </c>
      <c r="C10" s="6" t="s">
        <v>1103</v>
      </c>
      <c r="D10" s="6">
        <v>0</v>
      </c>
      <c r="E10" s="6" t="s">
        <v>145</v>
      </c>
    </row>
    <row r="11" spans="2:11">
      <c r="B11" s="6" t="s">
        <v>824</v>
      </c>
      <c r="C11" s="6" t="s">
        <v>1116</v>
      </c>
      <c r="D11" s="93">
        <v>-0.4</v>
      </c>
      <c r="E11" s="6" t="s">
        <v>148</v>
      </c>
    </row>
    <row r="13" spans="2:11">
      <c r="B13" s="261" t="s">
        <v>1130</v>
      </c>
    </row>
    <row r="15" spans="2:11">
      <c r="B15" s="278" t="s">
        <v>1131</v>
      </c>
      <c r="C15" s="278"/>
      <c r="D15" s="49"/>
    </row>
    <row r="16" spans="2:11">
      <c r="B16" s="278" t="s">
        <v>1132</v>
      </c>
      <c r="C16" s="278"/>
      <c r="D16" s="49"/>
    </row>
  </sheetData>
  <mergeCells count="2">
    <mergeCell ref="B15:C15"/>
    <mergeCell ref="B16:C16"/>
  </mergeCells>
  <phoneticPr fontId="2"/>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03948-2E2C-4081-94EF-21118658A4B5}">
  <sheetPr codeName="Sheet17">
    <tabColor theme="2" tint="-0.249977111117893"/>
  </sheetPr>
  <dimension ref="B2:R34"/>
  <sheetViews>
    <sheetView zoomScale="121" workbookViewId="0">
      <selection activeCell="N19" sqref="N19"/>
    </sheetView>
  </sheetViews>
  <sheetFormatPr defaultRowHeight="18.75"/>
  <cols>
    <col min="5" max="6" width="9.125" bestFit="1" customWidth="1"/>
    <col min="12" max="12" width="9.5" bestFit="1" customWidth="1"/>
    <col min="13" max="13" width="9.625" bestFit="1" customWidth="1"/>
    <col min="14" max="17" width="9.125" bestFit="1" customWidth="1"/>
  </cols>
  <sheetData>
    <row r="2" spans="2:13">
      <c r="B2" t="s">
        <v>1044</v>
      </c>
      <c r="J2" t="s">
        <v>1079</v>
      </c>
    </row>
    <row r="3" spans="2:13" ht="19.5" thickBot="1">
      <c r="B3" s="216"/>
      <c r="C3" s="216"/>
      <c r="D3" s="216" t="s">
        <v>1045</v>
      </c>
      <c r="E3" s="216" t="s">
        <v>1046</v>
      </c>
      <c r="F3" s="216" t="s">
        <v>99</v>
      </c>
      <c r="J3" s="2" t="s">
        <v>260</v>
      </c>
      <c r="K3" s="2" t="s">
        <v>261</v>
      </c>
      <c r="L3" s="2" t="s">
        <v>262</v>
      </c>
      <c r="M3" s="2" t="s">
        <v>263</v>
      </c>
    </row>
    <row r="4" spans="2:13" ht="20.25" thickTop="1" thickBot="1">
      <c r="B4" s="248" t="s">
        <v>1047</v>
      </c>
      <c r="C4" s="248" t="s">
        <v>320</v>
      </c>
      <c r="D4" s="250">
        <v>1.5585322863206834</v>
      </c>
      <c r="E4" s="250">
        <v>2.6230000000000002</v>
      </c>
      <c r="F4" s="248">
        <f>IF(E4,E4,D4)</f>
        <v>2.6230000000000002</v>
      </c>
      <c r="G4" t="s">
        <v>1077</v>
      </c>
      <c r="J4" s="6" t="s">
        <v>99</v>
      </c>
      <c r="K4" s="6" t="s">
        <v>264</v>
      </c>
      <c r="L4" s="6">
        <f>SUM(M17:Q17)</f>
        <v>0</v>
      </c>
      <c r="M4" s="6" t="s">
        <v>320</v>
      </c>
    </row>
    <row r="5" spans="2:13" ht="19.5" thickTop="1">
      <c r="B5" s="102" t="s">
        <v>1049</v>
      </c>
      <c r="C5" s="102" t="s">
        <v>320</v>
      </c>
      <c r="D5" s="102">
        <f>'主翼(重量推算)'!Y4</f>
        <v>9.1390000000000011</v>
      </c>
      <c r="E5" s="102">
        <f>'主翼(重量推算)'!Y5</f>
        <v>9.1389999999999993</v>
      </c>
      <c r="F5" s="232">
        <f>IF(E5,E5,D5)</f>
        <v>9.1389999999999993</v>
      </c>
      <c r="G5" t="s">
        <v>1078</v>
      </c>
      <c r="J5" s="6" t="s">
        <v>110</v>
      </c>
      <c r="K5" s="6" t="s">
        <v>980</v>
      </c>
      <c r="L5" s="6"/>
      <c r="M5" s="6" t="s">
        <v>145</v>
      </c>
    </row>
    <row r="6" spans="2:13">
      <c r="B6" s="6" t="s">
        <v>1050</v>
      </c>
      <c r="C6" s="6" t="s">
        <v>320</v>
      </c>
      <c r="D6" s="93">
        <v>1.512</v>
      </c>
      <c r="E6" s="251">
        <v>0</v>
      </c>
      <c r="F6" s="252">
        <f>IF(E6&lt;&gt;"",E6,D6)</f>
        <v>0</v>
      </c>
      <c r="J6" s="6" t="s">
        <v>840</v>
      </c>
      <c r="K6" s="6" t="s">
        <v>981</v>
      </c>
      <c r="L6" s="6"/>
      <c r="M6" s="6" t="s">
        <v>145</v>
      </c>
    </row>
    <row r="7" spans="2:13" ht="19.5" thickBot="1">
      <c r="B7" s="11" t="s">
        <v>1051</v>
      </c>
      <c r="C7" s="11" t="s">
        <v>320</v>
      </c>
      <c r="D7" s="28">
        <v>1.7</v>
      </c>
      <c r="E7" s="28">
        <v>0</v>
      </c>
      <c r="F7" s="260">
        <f t="shared" ref="F7:F33" si="0">IF(E7&lt;&gt;"",E7,D7)</f>
        <v>0</v>
      </c>
      <c r="J7" s="6"/>
      <c r="K7" s="6" t="s">
        <v>982</v>
      </c>
      <c r="L7" s="6"/>
      <c r="M7" s="6" t="s">
        <v>145</v>
      </c>
    </row>
    <row r="8" spans="2:13" ht="19.5" thickTop="1">
      <c r="B8" s="102" t="s">
        <v>1052</v>
      </c>
      <c r="C8" s="102" t="s">
        <v>320</v>
      </c>
      <c r="D8" s="102">
        <f>'主翼(重量推算)'!Y7</f>
        <v>6.0928497291743851</v>
      </c>
      <c r="E8" s="102">
        <f>'主翼(重量推算)'!Y8</f>
        <v>5.7779999999999996</v>
      </c>
      <c r="F8" s="259">
        <f t="shared" si="0"/>
        <v>5.7779999999999996</v>
      </c>
      <c r="J8" s="6" t="s">
        <v>209</v>
      </c>
      <c r="K8" s="6" t="s">
        <v>983</v>
      </c>
      <c r="L8" s="100">
        <f>SUM(M21:Q21)+SUMPRODUCT(M17:Q17,M28:Q28,M28:Q28)+SUMPRODUCT(M17:Q17,M29:Q29,M29:Q29)</f>
        <v>0.2209277010614735</v>
      </c>
      <c r="M8" s="6" t="s">
        <v>984</v>
      </c>
    </row>
    <row r="9" spans="2:13">
      <c r="B9" s="6" t="s">
        <v>1053</v>
      </c>
      <c r="C9" s="6" t="s">
        <v>320</v>
      </c>
      <c r="D9" s="6">
        <f>'主翼(重量推算)'!Y7</f>
        <v>6.0928497291743851</v>
      </c>
      <c r="E9" s="6">
        <f>'主翼(重量推算)'!Y9</f>
        <v>5.7690000000000001</v>
      </c>
      <c r="F9" s="252">
        <f t="shared" si="0"/>
        <v>5.7690000000000001</v>
      </c>
      <c r="J9" s="6"/>
      <c r="K9" s="6" t="s">
        <v>985</v>
      </c>
      <c r="L9" s="100">
        <f>SUM(M22:Q22)+SUMPRODUCT(M17:Q17,M27:Q27,M27:Q27)+SUMPRODUCT(M17:Q17,M29:Q29,M29:Q29)</f>
        <v>1124.3497931191357</v>
      </c>
      <c r="M9" s="6" t="s">
        <v>984</v>
      </c>
    </row>
    <row r="10" spans="2:13">
      <c r="B10" s="6" t="s">
        <v>1054</v>
      </c>
      <c r="C10" s="6" t="s">
        <v>320</v>
      </c>
      <c r="D10" s="6">
        <f>'主翼(重量推算)'!Y11</f>
        <v>4.455088868927656</v>
      </c>
      <c r="E10" s="6">
        <f>'主翼(重量推算)'!Y12</f>
        <v>4.6550000000000002</v>
      </c>
      <c r="F10" s="252">
        <f t="shared" si="0"/>
        <v>4.6550000000000002</v>
      </c>
      <c r="J10" s="6"/>
      <c r="K10" s="6" t="s">
        <v>986</v>
      </c>
      <c r="L10" s="100">
        <f>SUM(M23:Q23)+SUMPRODUCT(M17:Q17,M27:Q27,M27:Q27)+SUMPRODUCT(M17:Q17,M28:Q28,M28:Q28)</f>
        <v>3.5947051751945902</v>
      </c>
      <c r="M10" s="6" t="s">
        <v>984</v>
      </c>
    </row>
    <row r="11" spans="2:13">
      <c r="B11" s="6" t="s">
        <v>1055</v>
      </c>
      <c r="C11" s="6" t="s">
        <v>320</v>
      </c>
      <c r="D11" s="6">
        <f>'主翼(重量推算)'!Y11</f>
        <v>4.455088868927656</v>
      </c>
      <c r="E11" s="6">
        <f>'主翼(重量推算)'!Y13</f>
        <v>4.609</v>
      </c>
      <c r="F11" s="252">
        <f t="shared" si="0"/>
        <v>4.609</v>
      </c>
      <c r="J11" s="6"/>
      <c r="K11" s="6" t="s">
        <v>987</v>
      </c>
      <c r="L11" s="6">
        <f>SUM(M24:Q24)-SUMPRODUCT(M17:Q17,M27:Q27,M28:Q28)</f>
        <v>1120.7550879439411</v>
      </c>
      <c r="M11" s="6" t="s">
        <v>988</v>
      </c>
    </row>
    <row r="12" spans="2:13">
      <c r="B12" s="6" t="s">
        <v>1056</v>
      </c>
      <c r="C12" s="6" t="s">
        <v>320</v>
      </c>
      <c r="D12" s="6">
        <f>'主翼(重量推算)'!Y15</f>
        <v>2.5365469271279135</v>
      </c>
      <c r="E12" s="6">
        <v>2.625</v>
      </c>
      <c r="F12" s="252">
        <f t="shared" si="0"/>
        <v>2.625</v>
      </c>
      <c r="J12" s="6"/>
      <c r="K12" s="6" t="s">
        <v>989</v>
      </c>
      <c r="L12" s="6">
        <f>SUM(M25:Q25)-SUMPRODUCT(M17:Q17,M28:Q28,M29:Q29)</f>
        <v>0</v>
      </c>
      <c r="M12" s="6" t="s">
        <v>988</v>
      </c>
    </row>
    <row r="13" spans="2:13">
      <c r="B13" s="6" t="s">
        <v>1057</v>
      </c>
      <c r="C13" s="6" t="s">
        <v>320</v>
      </c>
      <c r="D13" s="6">
        <f>'主翼(重量推算)'!Y15</f>
        <v>2.5365469271279135</v>
      </c>
      <c r="E13" s="6">
        <v>2.6949999999999998</v>
      </c>
      <c r="F13" s="252">
        <f t="shared" si="0"/>
        <v>2.6949999999999998</v>
      </c>
      <c r="J13" s="6"/>
      <c r="K13" s="6" t="s">
        <v>990</v>
      </c>
      <c r="L13" s="6">
        <f>SUM(M26:Q26)-SUMPRODUCT(M17:Q17,M27:Q27,M29:Q29)</f>
        <v>0</v>
      </c>
      <c r="M13" s="6" t="s">
        <v>988</v>
      </c>
    </row>
    <row r="14" spans="2:13">
      <c r="B14" s="6" t="s">
        <v>1058</v>
      </c>
      <c r="C14" s="6" t="s">
        <v>320</v>
      </c>
      <c r="D14" s="6">
        <f>'主翼(重量推算)'!Y19</f>
        <v>0.2</v>
      </c>
      <c r="E14" s="6">
        <f>'主翼(重量推算)'!Y20</f>
        <v>0.2</v>
      </c>
      <c r="F14" s="252">
        <f t="shared" si="0"/>
        <v>0.2</v>
      </c>
    </row>
    <row r="15" spans="2:13">
      <c r="B15" s="6" t="s">
        <v>1059</v>
      </c>
      <c r="C15" s="6" t="s">
        <v>320</v>
      </c>
      <c r="D15" s="6">
        <f>'主翼(重量推算)'!Y19</f>
        <v>0.2</v>
      </c>
      <c r="E15" s="6">
        <f>'主翼(重量推算)'!Y21</f>
        <v>0.2</v>
      </c>
      <c r="F15" s="252">
        <f t="shared" si="0"/>
        <v>0.2</v>
      </c>
    </row>
    <row r="16" spans="2:13" ht="19.5" thickBot="1">
      <c r="B16" s="11" t="s">
        <v>1060</v>
      </c>
      <c r="C16" s="11" t="s">
        <v>320</v>
      </c>
      <c r="D16" s="11">
        <v>0.05</v>
      </c>
      <c r="E16" s="93"/>
      <c r="F16" s="252">
        <f t="shared" si="0"/>
        <v>0.05</v>
      </c>
      <c r="J16" s="23" t="s">
        <v>1080</v>
      </c>
    </row>
    <row r="17" spans="2:18" ht="19.5" thickTop="1">
      <c r="B17" s="102" t="s">
        <v>1061</v>
      </c>
      <c r="C17" s="102" t="s">
        <v>320</v>
      </c>
      <c r="D17" s="6">
        <v>1.228</v>
      </c>
      <c r="E17" s="103">
        <v>1.298</v>
      </c>
      <c r="F17" s="252">
        <f>IF(E17&lt;&gt;"",E17,#REF!)</f>
        <v>1.298</v>
      </c>
      <c r="J17" s="2" t="s">
        <v>260</v>
      </c>
      <c r="K17" s="2" t="s">
        <v>261</v>
      </c>
      <c r="L17" s="2" t="s">
        <v>263</v>
      </c>
      <c r="M17" s="2" t="s">
        <v>124</v>
      </c>
      <c r="N17" s="2" t="s">
        <v>149</v>
      </c>
      <c r="O17" s="2" t="s">
        <v>150</v>
      </c>
      <c r="P17" s="2" t="s">
        <v>1048</v>
      </c>
      <c r="Q17" s="2" t="s">
        <v>1081</v>
      </c>
    </row>
    <row r="18" spans="2:18">
      <c r="B18" s="6" t="s">
        <v>1043</v>
      </c>
      <c r="C18" s="6" t="s">
        <v>320</v>
      </c>
      <c r="D18">
        <v>0.97599999999999998</v>
      </c>
      <c r="E18" s="93">
        <v>1.1339999999999999</v>
      </c>
      <c r="F18" s="252">
        <f>IF(E18&lt;&gt;"",E18,D17)</f>
        <v>1.1339999999999999</v>
      </c>
      <c r="J18" s="6" t="s">
        <v>99</v>
      </c>
      <c r="K18" s="6" t="s">
        <v>264</v>
      </c>
      <c r="L18" s="6" t="s">
        <v>320</v>
      </c>
      <c r="M18" s="6">
        <f>SUM(F8:F16)+F5</f>
        <v>35.72</v>
      </c>
      <c r="N18" s="6">
        <f>F17</f>
        <v>1.298</v>
      </c>
      <c r="O18" s="6">
        <f>SUM(F18:F20)</f>
        <v>1.6919999999999999</v>
      </c>
      <c r="P18" s="6">
        <f>F4</f>
        <v>2.6230000000000002</v>
      </c>
      <c r="Q18" s="6">
        <f>SUM(F21:F28)+SUM(F32:F33)+全機諸元!I6</f>
        <v>78.397000000000006</v>
      </c>
    </row>
    <row r="19" spans="2:18">
      <c r="B19" s="6" t="s">
        <v>1062</v>
      </c>
      <c r="C19" s="6" t="s">
        <v>320</v>
      </c>
      <c r="D19" s="6">
        <v>0.5</v>
      </c>
      <c r="E19" s="93"/>
      <c r="F19" s="252">
        <f t="shared" si="0"/>
        <v>0.5</v>
      </c>
      <c r="J19" s="6" t="s">
        <v>110</v>
      </c>
      <c r="K19" s="6" t="s">
        <v>980</v>
      </c>
      <c r="L19" s="6" t="s">
        <v>145</v>
      </c>
      <c r="M19" s="6">
        <f>'主翼(重量推算)'!I28</f>
        <v>0</v>
      </c>
      <c r="N19" s="6"/>
      <c r="O19" s="6"/>
      <c r="P19" s="6"/>
      <c r="Q19" s="93"/>
      <c r="R19" s="24" t="s">
        <v>1086</v>
      </c>
    </row>
    <row r="20" spans="2:18" ht="19.5" thickBot="1">
      <c r="B20" s="11" t="s">
        <v>1063</v>
      </c>
      <c r="C20" s="11" t="s">
        <v>320</v>
      </c>
      <c r="D20" s="11">
        <v>0.1</v>
      </c>
      <c r="E20" s="28">
        <v>5.8000000000000003E-2</v>
      </c>
      <c r="F20" s="252">
        <f t="shared" si="0"/>
        <v>5.8000000000000003E-2</v>
      </c>
      <c r="J20" s="6" t="s">
        <v>840</v>
      </c>
      <c r="K20" s="6" t="s">
        <v>981</v>
      </c>
      <c r="L20" s="6" t="s">
        <v>145</v>
      </c>
      <c r="M20" s="6">
        <f>'主翼(重量推算)'!I29</f>
        <v>0</v>
      </c>
      <c r="N20" s="6"/>
      <c r="O20" s="6"/>
      <c r="P20" s="6"/>
      <c r="Q20" s="6"/>
    </row>
    <row r="21" spans="2:18" ht="19.5" thickTop="1">
      <c r="B21" s="102" t="s">
        <v>192</v>
      </c>
      <c r="C21" s="102" t="s">
        <v>320</v>
      </c>
      <c r="D21" s="102">
        <v>3</v>
      </c>
      <c r="E21" s="103">
        <v>2.96</v>
      </c>
      <c r="F21" s="252">
        <f t="shared" si="0"/>
        <v>2.96</v>
      </c>
      <c r="J21" s="6"/>
      <c r="K21" s="6" t="s">
        <v>982</v>
      </c>
      <c r="L21" s="6" t="s">
        <v>145</v>
      </c>
      <c r="M21" s="6">
        <f>'主翼(重量推算)'!I30</f>
        <v>0.2209277010614735</v>
      </c>
      <c r="N21" s="6"/>
      <c r="O21" s="6"/>
      <c r="P21" s="6"/>
      <c r="Q21" s="6"/>
      <c r="R21" s="24" t="s">
        <v>1087</v>
      </c>
    </row>
    <row r="22" spans="2:18">
      <c r="B22" s="6" t="s">
        <v>1064</v>
      </c>
      <c r="C22" s="6" t="s">
        <v>320</v>
      </c>
      <c r="D22" s="6">
        <v>1.2</v>
      </c>
      <c r="E22" s="93">
        <v>1.5469999999999999</v>
      </c>
      <c r="F22" s="252">
        <f t="shared" si="0"/>
        <v>1.5469999999999999</v>
      </c>
      <c r="J22" s="6" t="s">
        <v>209</v>
      </c>
      <c r="K22" s="6" t="s">
        <v>983</v>
      </c>
      <c r="L22" s="6" t="s">
        <v>984</v>
      </c>
      <c r="M22" s="6">
        <f>'主翼(重量推算)'!I31</f>
        <v>1124.3497931191357</v>
      </c>
      <c r="N22" s="6"/>
      <c r="O22" s="6"/>
      <c r="P22" s="6"/>
      <c r="Q22" s="93"/>
    </row>
    <row r="23" spans="2:18">
      <c r="B23" s="6" t="s">
        <v>1065</v>
      </c>
      <c r="C23" s="6" t="s">
        <v>320</v>
      </c>
      <c r="D23" s="6">
        <v>1.1000000000000001</v>
      </c>
      <c r="E23" s="93">
        <v>1.28</v>
      </c>
      <c r="F23" s="252">
        <f t="shared" si="0"/>
        <v>1.28</v>
      </c>
      <c r="J23" s="6"/>
      <c r="K23" s="6" t="s">
        <v>985</v>
      </c>
      <c r="L23" s="6" t="s">
        <v>984</v>
      </c>
      <c r="M23" s="6">
        <f>'主翼(重量推算)'!I32</f>
        <v>3.5947051751945902</v>
      </c>
      <c r="N23" s="6"/>
      <c r="O23" s="6"/>
      <c r="P23" s="6"/>
      <c r="Q23" s="93"/>
    </row>
    <row r="24" spans="2:18">
      <c r="B24" s="6" t="s">
        <v>1066</v>
      </c>
      <c r="C24" s="6" t="s">
        <v>320</v>
      </c>
      <c r="D24" s="6">
        <v>1.5</v>
      </c>
      <c r="E24" s="93">
        <v>1.35</v>
      </c>
      <c r="F24" s="252">
        <f t="shared" si="0"/>
        <v>1.35</v>
      </c>
      <c r="J24" s="6"/>
      <c r="K24" s="6" t="s">
        <v>986</v>
      </c>
      <c r="L24" s="6" t="s">
        <v>984</v>
      </c>
      <c r="M24" s="6">
        <f>'主翼(重量推算)'!I33</f>
        <v>1120.7550879439411</v>
      </c>
      <c r="N24" s="6"/>
      <c r="O24" s="6"/>
      <c r="P24" s="6"/>
      <c r="Q24" s="93"/>
    </row>
    <row r="25" spans="2:18" ht="19.5" thickBot="1">
      <c r="B25" s="11" t="s">
        <v>1067</v>
      </c>
      <c r="C25" s="11" t="s">
        <v>320</v>
      </c>
      <c r="D25" s="11">
        <v>7.0000000000000007E-2</v>
      </c>
      <c r="E25" s="28"/>
      <c r="F25" s="252">
        <f t="shared" si="0"/>
        <v>7.0000000000000007E-2</v>
      </c>
      <c r="J25" s="6"/>
      <c r="K25" s="6" t="s">
        <v>987</v>
      </c>
      <c r="L25" s="6" t="s">
        <v>988</v>
      </c>
      <c r="M25" s="6">
        <f>'主翼(重量推算)'!I34</f>
        <v>0</v>
      </c>
      <c r="N25" s="6"/>
      <c r="O25" s="6"/>
      <c r="P25" s="6"/>
      <c r="Q25" s="93"/>
    </row>
    <row r="26" spans="2:18" ht="20.25" thickTop="1" thickBot="1">
      <c r="B26" s="249" t="s">
        <v>1068</v>
      </c>
      <c r="C26" s="249" t="s">
        <v>320</v>
      </c>
      <c r="D26" s="249">
        <v>1.1000000000000001</v>
      </c>
      <c r="E26" s="253">
        <v>0.7</v>
      </c>
      <c r="F26" s="252">
        <f t="shared" si="0"/>
        <v>0.7</v>
      </c>
      <c r="J26" s="6"/>
      <c r="K26" s="6" t="s">
        <v>989</v>
      </c>
      <c r="L26" s="6" t="s">
        <v>988</v>
      </c>
      <c r="M26" s="6">
        <f>'主翼(重量推算)'!I35</f>
        <v>0</v>
      </c>
      <c r="N26" s="6"/>
      <c r="O26" s="6"/>
      <c r="P26" s="6"/>
      <c r="Q26" s="93"/>
    </row>
    <row r="27" spans="2:18" ht="19.5" thickTop="1">
      <c r="B27" s="102" t="s">
        <v>1069</v>
      </c>
      <c r="C27" s="102" t="s">
        <v>320</v>
      </c>
      <c r="D27" s="102">
        <v>0.5</v>
      </c>
      <c r="E27" s="103">
        <v>0</v>
      </c>
      <c r="F27" s="252">
        <f t="shared" si="0"/>
        <v>0</v>
      </c>
      <c r="J27" s="6"/>
      <c r="K27" s="6" t="s">
        <v>990</v>
      </c>
      <c r="L27" s="6" t="s">
        <v>988</v>
      </c>
      <c r="M27" s="6">
        <f>'主翼(重量推算)'!I36</f>
        <v>0</v>
      </c>
      <c r="N27" s="6"/>
      <c r="O27" s="6"/>
      <c r="P27" s="6"/>
      <c r="Q27" s="93"/>
    </row>
    <row r="28" spans="2:18" ht="19.5" thickBot="1">
      <c r="B28" s="11" t="s">
        <v>1070</v>
      </c>
      <c r="C28" s="11" t="s">
        <v>320</v>
      </c>
      <c r="D28" s="11">
        <v>1.5</v>
      </c>
      <c r="E28" s="254">
        <v>1.3160000000000001</v>
      </c>
      <c r="F28" s="252">
        <f t="shared" si="0"/>
        <v>1.3160000000000001</v>
      </c>
      <c r="J28" s="6" t="s">
        <v>1082</v>
      </c>
      <c r="K28" s="6" t="s">
        <v>1083</v>
      </c>
      <c r="L28" s="6" t="s">
        <v>145</v>
      </c>
      <c r="M28" s="6">
        <f>M19-$L5</f>
        <v>0</v>
      </c>
      <c r="N28" s="6">
        <f>N19-$L5</f>
        <v>0</v>
      </c>
      <c r="O28" s="6">
        <f>O19-$L5</f>
        <v>0</v>
      </c>
      <c r="P28" s="6">
        <f>P19-$L5</f>
        <v>0</v>
      </c>
      <c r="Q28" s="6">
        <f>Q19-$L5</f>
        <v>0</v>
      </c>
    </row>
    <row r="29" spans="2:18" ht="19.5" thickTop="1">
      <c r="B29" s="102" t="s">
        <v>1071</v>
      </c>
      <c r="C29" s="102" t="s">
        <v>320</v>
      </c>
      <c r="D29" s="255" t="s">
        <v>142</v>
      </c>
      <c r="E29" s="256"/>
      <c r="F29" s="252" t="str">
        <f t="shared" si="0"/>
        <v>-</v>
      </c>
      <c r="J29" s="6"/>
      <c r="K29" s="6" t="s">
        <v>1084</v>
      </c>
      <c r="L29" s="6" t="s">
        <v>145</v>
      </c>
      <c r="M29" s="6">
        <f t="shared" ref="M29:Q30" si="1">M20-$L6</f>
        <v>0</v>
      </c>
      <c r="N29" s="6">
        <f t="shared" si="1"/>
        <v>0</v>
      </c>
      <c r="O29" s="6">
        <f t="shared" si="1"/>
        <v>0</v>
      </c>
      <c r="P29" s="6">
        <f t="shared" si="1"/>
        <v>0</v>
      </c>
      <c r="Q29" s="6">
        <f t="shared" si="1"/>
        <v>0</v>
      </c>
    </row>
    <row r="30" spans="2:18">
      <c r="B30" s="6" t="s">
        <v>1072</v>
      </c>
      <c r="C30" s="6" t="s">
        <v>320</v>
      </c>
      <c r="D30" s="175" t="s">
        <v>142</v>
      </c>
      <c r="E30" s="257"/>
      <c r="F30" s="252" t="str">
        <f t="shared" si="0"/>
        <v>-</v>
      </c>
      <c r="J30" s="6"/>
      <c r="K30" s="6" t="s">
        <v>1085</v>
      </c>
      <c r="L30" s="6" t="s">
        <v>145</v>
      </c>
      <c r="M30" s="6">
        <f t="shared" si="1"/>
        <v>0.2209277010614735</v>
      </c>
      <c r="N30" s="6">
        <f t="shared" si="1"/>
        <v>0</v>
      </c>
      <c r="O30" s="6">
        <f t="shared" si="1"/>
        <v>0</v>
      </c>
      <c r="P30" s="6">
        <f t="shared" si="1"/>
        <v>0</v>
      </c>
      <c r="Q30" s="6">
        <f t="shared" si="1"/>
        <v>0</v>
      </c>
    </row>
    <row r="31" spans="2:18" ht="19.5" thickBot="1">
      <c r="B31" s="11" t="s">
        <v>1073</v>
      </c>
      <c r="C31" s="11" t="s">
        <v>320</v>
      </c>
      <c r="D31" s="191" t="s">
        <v>142</v>
      </c>
      <c r="E31" s="258">
        <v>1.2</v>
      </c>
      <c r="F31" s="252">
        <f t="shared" si="0"/>
        <v>1.2</v>
      </c>
    </row>
    <row r="32" spans="2:18" ht="19.5" thickTop="1">
      <c r="B32" s="12" t="s">
        <v>1074</v>
      </c>
      <c r="C32" s="12" t="s">
        <v>320</v>
      </c>
      <c r="D32" s="12">
        <v>1.5</v>
      </c>
      <c r="E32" s="87">
        <v>1.9339999999999999</v>
      </c>
      <c r="F32" s="252">
        <f t="shared" si="0"/>
        <v>1.9339999999999999</v>
      </c>
    </row>
    <row r="33" spans="2:6" ht="19.5" thickBot="1">
      <c r="B33" s="11" t="s">
        <v>1075</v>
      </c>
      <c r="C33" s="11" t="s">
        <v>320</v>
      </c>
      <c r="D33" s="11">
        <v>0.3</v>
      </c>
      <c r="E33" s="28">
        <v>0.24</v>
      </c>
      <c r="F33" s="252">
        <f t="shared" si="0"/>
        <v>0.24</v>
      </c>
    </row>
    <row r="34" spans="2:6" ht="19.5" thickTop="1">
      <c r="B34" s="12" t="s">
        <v>1076</v>
      </c>
      <c r="C34" s="12" t="s">
        <v>320</v>
      </c>
      <c r="D34" s="12">
        <f>SUM(D4:D33)</f>
        <v>55.102503336780607</v>
      </c>
      <c r="E34" s="12">
        <f>SUM(E4:E33)</f>
        <v>53.310000000000016</v>
      </c>
      <c r="F34" s="12">
        <f>SUM(F4:F33)</f>
        <v>53.930000000000014</v>
      </c>
    </row>
  </sheetData>
  <phoneticPr fontId="2"/>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21</vt:i4>
      </vt:variant>
      <vt:variant>
        <vt:lpstr>名前付き一覧</vt:lpstr>
      </vt:variant>
      <vt:variant>
        <vt:i4>1</vt:i4>
      </vt:variant>
    </vt:vector>
  </HeadingPairs>
  <TitlesOfParts>
    <vt:vector size="22" baseType="lpstr">
      <vt:lpstr>主翼(型紙出力)</vt:lpstr>
      <vt:lpstr>主翼(平面形)</vt:lpstr>
      <vt:lpstr>主翼(重量推算)</vt:lpstr>
      <vt:lpstr>主翼(平面形結果)</vt:lpstr>
      <vt:lpstr>主翼(桁)</vt:lpstr>
      <vt:lpstr>翼型設計</vt:lpstr>
      <vt:lpstr>主翼翼型1</vt:lpstr>
      <vt:lpstr>主翼翼型2</vt:lpstr>
      <vt:lpstr>主翼翼型3</vt:lpstr>
      <vt:lpstr>主翼翼型4</vt:lpstr>
      <vt:lpstr>主翼翼型5</vt:lpstr>
      <vt:lpstr>全機諸元</vt:lpstr>
      <vt:lpstr>概念設計</vt:lpstr>
      <vt:lpstr>歴代主要諸元</vt:lpstr>
      <vt:lpstr>パラメーター</vt:lpstr>
      <vt:lpstr>垂直尾翼</vt:lpstr>
      <vt:lpstr>垂直尾翼翼型</vt:lpstr>
      <vt:lpstr>水平尾翼</vt:lpstr>
      <vt:lpstr>水平尾翼翼型</vt:lpstr>
      <vt:lpstr>尾翼設計</vt:lpstr>
      <vt:lpstr>重量推算（慣性モーメント）</vt:lpstr>
      <vt:lpstr>FolderFileList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蓮弥 髙橋</dc:creator>
  <cp:lastModifiedBy>TAKAHASHI Renya</cp:lastModifiedBy>
  <dcterms:created xsi:type="dcterms:W3CDTF">2025-08-27T17:57:50Z</dcterms:created>
  <dcterms:modified xsi:type="dcterms:W3CDTF">2026-01-06T19:57:31Z</dcterms:modified>
</cp:coreProperties>
</file>